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99CE115A-B2BE-433D-AD79-FF376C4D2FD7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Canoe'!$A$4:$DK$164</definedName>
    <definedName name="_xlnm.Print_Area" localSheetId="0">'2025_RATING_ALL Women''s Canoe'!$A$1:$DL$172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C134" i="4" l="1"/>
  <c r="DC160" i="4"/>
  <c r="DC110" i="4"/>
  <c r="DC128" i="4"/>
  <c r="DC165" i="4"/>
  <c r="DI92" i="4"/>
  <c r="DC92" i="4" s="1"/>
  <c r="DI94" i="4"/>
  <c r="DC94" i="4" s="1"/>
  <c r="DI78" i="4"/>
  <c r="DI75" i="4"/>
  <c r="DI89" i="4"/>
  <c r="DI82" i="4"/>
  <c r="DI63" i="4"/>
  <c r="DI57" i="4"/>
  <c r="DI49" i="4"/>
  <c r="DI50" i="4"/>
  <c r="DI42" i="4"/>
  <c r="DI54" i="4"/>
  <c r="DE61" i="4"/>
  <c r="DE58" i="4"/>
  <c r="DE42" i="4"/>
  <c r="DE57" i="4"/>
  <c r="DE72" i="4"/>
  <c r="DE67" i="4"/>
  <c r="DE56" i="4"/>
  <c r="DE46" i="4"/>
  <c r="DE17" i="4"/>
  <c r="DK95" i="4"/>
  <c r="DC95" i="4" s="1"/>
  <c r="DK99" i="4"/>
  <c r="DC99" i="4" s="1"/>
  <c r="DK89" i="4"/>
  <c r="DK82" i="4"/>
  <c r="DK91" i="4"/>
  <c r="DK46" i="4"/>
  <c r="DK78" i="4"/>
  <c r="DK75" i="4"/>
  <c r="DK69" i="4"/>
  <c r="DK56" i="4"/>
  <c r="DK63" i="4"/>
  <c r="DK57" i="4"/>
  <c r="DK58" i="4"/>
  <c r="DK17" i="4"/>
  <c r="DK42" i="4"/>
  <c r="DK54" i="4"/>
  <c r="DK50" i="4"/>
  <c r="DC50" i="4" s="1"/>
  <c r="DK49" i="4"/>
  <c r="DG72" i="4"/>
  <c r="DG67" i="4"/>
  <c r="DG69" i="4"/>
  <c r="DG58" i="4"/>
  <c r="DG46" i="4"/>
  <c r="DG56" i="4"/>
  <c r="DG73" i="4"/>
  <c r="DG61" i="4"/>
  <c r="DG17" i="4"/>
  <c r="DC10" i="4"/>
  <c r="DC11" i="4"/>
  <c r="DC12" i="4"/>
  <c r="DC13" i="4"/>
  <c r="DC14" i="4"/>
  <c r="DC15" i="4"/>
  <c r="DC16" i="4"/>
  <c r="DC157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131" i="4"/>
  <c r="DC43" i="4"/>
  <c r="DC44" i="4"/>
  <c r="DC45" i="4"/>
  <c r="DC47" i="4"/>
  <c r="DC48" i="4"/>
  <c r="DC73" i="4"/>
  <c r="DC51" i="4"/>
  <c r="DC52" i="4"/>
  <c r="DC53" i="4"/>
  <c r="DC55" i="4"/>
  <c r="DC129" i="4"/>
  <c r="DC143" i="4"/>
  <c r="DC130" i="4"/>
  <c r="DC59" i="4"/>
  <c r="DC60" i="4"/>
  <c r="DC62" i="4"/>
  <c r="DC64" i="4"/>
  <c r="DC65" i="4"/>
  <c r="DC66" i="4"/>
  <c r="DC91" i="4"/>
  <c r="DC68" i="4"/>
  <c r="DC139" i="4"/>
  <c r="DC70" i="4"/>
  <c r="DC71" i="4"/>
  <c r="DC116" i="4"/>
  <c r="DC117" i="4"/>
  <c r="DC74" i="4"/>
  <c r="DC142" i="4"/>
  <c r="DC76" i="4"/>
  <c r="DC77" i="4"/>
  <c r="DC79" i="4"/>
  <c r="DC80" i="4"/>
  <c r="DC81" i="4"/>
  <c r="DC101" i="4"/>
  <c r="DC83" i="4"/>
  <c r="DC84" i="4"/>
  <c r="DC85" i="4"/>
  <c r="DC86" i="4"/>
  <c r="DC87" i="4"/>
  <c r="DC88" i="4"/>
  <c r="DC103" i="4"/>
  <c r="DC90" i="4"/>
  <c r="DC93" i="4"/>
  <c r="DC104" i="4"/>
  <c r="DC96" i="4"/>
  <c r="DC97" i="4"/>
  <c r="DC98" i="4"/>
  <c r="DC113" i="4"/>
  <c r="DC100" i="4"/>
  <c r="DC102" i="4"/>
  <c r="DC118" i="4"/>
  <c r="DC119" i="4"/>
  <c r="DC105" i="4"/>
  <c r="DC106" i="4"/>
  <c r="DC107" i="4"/>
  <c r="DC108" i="4"/>
  <c r="DC109" i="4"/>
  <c r="DC111" i="4"/>
  <c r="DC112" i="4"/>
  <c r="DC114" i="4"/>
  <c r="DC115" i="4"/>
  <c r="DC132" i="4"/>
  <c r="DC133" i="4"/>
  <c r="DC120" i="4"/>
  <c r="DC121" i="4"/>
  <c r="DC122" i="4"/>
  <c r="DC123" i="4"/>
  <c r="DC124" i="4"/>
  <c r="DC125" i="4"/>
  <c r="DC126" i="4"/>
  <c r="DC127" i="4"/>
  <c r="DC135" i="4"/>
  <c r="DC140" i="4"/>
  <c r="DC145" i="4"/>
  <c r="DC148" i="4"/>
  <c r="DC156" i="4"/>
  <c r="DC136" i="4"/>
  <c r="DC137" i="4"/>
  <c r="DC138" i="4"/>
  <c r="DC141" i="4"/>
  <c r="DC161" i="4"/>
  <c r="DC144" i="4"/>
  <c r="DC162" i="4"/>
  <c r="DC146" i="4"/>
  <c r="DC147" i="4"/>
  <c r="DC166" i="4"/>
  <c r="DC149" i="4"/>
  <c r="DC150" i="4"/>
  <c r="DC151" i="4"/>
  <c r="DC152" i="4"/>
  <c r="DC153" i="4"/>
  <c r="DC154" i="4"/>
  <c r="DC155" i="4"/>
  <c r="DC167" i="4"/>
  <c r="DC168" i="4"/>
  <c r="DC158" i="4"/>
  <c r="DC159" i="4"/>
  <c r="DC169" i="4"/>
  <c r="DC170" i="4"/>
  <c r="DC163" i="4"/>
  <c r="DC164" i="4"/>
  <c r="DC9" i="4"/>
  <c r="CV62" i="4"/>
  <c r="CV45" i="4"/>
  <c r="CV66" i="4"/>
  <c r="CT66" i="4" s="1"/>
  <c r="CV53" i="4"/>
  <c r="CV43" i="4"/>
  <c r="CV38" i="4"/>
  <c r="CT153" i="4"/>
  <c r="CT127" i="4"/>
  <c r="CT144" i="4"/>
  <c r="CT141" i="4"/>
  <c r="J144" i="4"/>
  <c r="O144" i="4"/>
  <c r="R144" i="4"/>
  <c r="AC144" i="4"/>
  <c r="AN144" i="4"/>
  <c r="AW144" i="4"/>
  <c r="BF144" i="4"/>
  <c r="BQ144" i="4"/>
  <c r="BZ144" i="4"/>
  <c r="CK144" i="4"/>
  <c r="J66" i="4"/>
  <c r="O66" i="4"/>
  <c r="R66" i="4"/>
  <c r="AC66" i="4"/>
  <c r="AN66" i="4"/>
  <c r="AW66" i="4"/>
  <c r="BF66" i="4"/>
  <c r="BQ66" i="4"/>
  <c r="BZ66" i="4"/>
  <c r="CK66" i="4"/>
  <c r="J127" i="4"/>
  <c r="O127" i="4"/>
  <c r="R127" i="4"/>
  <c r="AC127" i="4"/>
  <c r="AN127" i="4"/>
  <c r="AW127" i="4"/>
  <c r="BF127" i="4"/>
  <c r="BQ127" i="4"/>
  <c r="BZ127" i="4"/>
  <c r="CK127" i="4"/>
  <c r="J153" i="4"/>
  <c r="O153" i="4"/>
  <c r="R153" i="4"/>
  <c r="AC153" i="4"/>
  <c r="AN153" i="4"/>
  <c r="AW153" i="4"/>
  <c r="BF153" i="4"/>
  <c r="BQ153" i="4"/>
  <c r="BZ153" i="4"/>
  <c r="CK153" i="4"/>
  <c r="DB68" i="4"/>
  <c r="CT68" i="4" s="1"/>
  <c r="DB45" i="4"/>
  <c r="DB44" i="4"/>
  <c r="CX62" i="4"/>
  <c r="CX44" i="4"/>
  <c r="CX53" i="4"/>
  <c r="CT53" i="4" s="1"/>
  <c r="CX43" i="4"/>
  <c r="CT43" i="4" s="1"/>
  <c r="CX38" i="4"/>
  <c r="J43" i="4"/>
  <c r="O43" i="4"/>
  <c r="R43" i="4"/>
  <c r="AC43" i="4"/>
  <c r="AN43" i="4"/>
  <c r="AW43" i="4"/>
  <c r="BF43" i="4"/>
  <c r="BQ43" i="4"/>
  <c r="BZ43" i="4"/>
  <c r="CK43" i="4"/>
  <c r="J53" i="4"/>
  <c r="O53" i="4"/>
  <c r="R53" i="4"/>
  <c r="AC53" i="4"/>
  <c r="AN53" i="4"/>
  <c r="AW53" i="4"/>
  <c r="BF53" i="4"/>
  <c r="BQ53" i="4"/>
  <c r="BZ53" i="4"/>
  <c r="CK53" i="4"/>
  <c r="J44" i="4"/>
  <c r="O44" i="4"/>
  <c r="R44" i="4"/>
  <c r="AC44" i="4"/>
  <c r="AN44" i="4"/>
  <c r="AW44" i="4"/>
  <c r="BF44" i="4"/>
  <c r="BQ44" i="4"/>
  <c r="BZ44" i="4"/>
  <c r="CK44" i="4"/>
  <c r="J62" i="4"/>
  <c r="O62" i="4"/>
  <c r="R62" i="4"/>
  <c r="AC62" i="4"/>
  <c r="AN62" i="4"/>
  <c r="AW62" i="4"/>
  <c r="BF62" i="4"/>
  <c r="BQ62" i="4"/>
  <c r="BZ62" i="4"/>
  <c r="CK62" i="4"/>
  <c r="J45" i="4"/>
  <c r="O45" i="4"/>
  <c r="R45" i="4"/>
  <c r="AC45" i="4"/>
  <c r="AN45" i="4"/>
  <c r="AW45" i="4"/>
  <c r="BF45" i="4"/>
  <c r="BQ45" i="4"/>
  <c r="BZ45" i="4"/>
  <c r="CK45" i="4"/>
  <c r="J68" i="4"/>
  <c r="O68" i="4"/>
  <c r="R68" i="4"/>
  <c r="AC68" i="4"/>
  <c r="AN68" i="4"/>
  <c r="AW68" i="4"/>
  <c r="BF68" i="4"/>
  <c r="BQ68" i="4"/>
  <c r="BZ68" i="4"/>
  <c r="CK68" i="4"/>
  <c r="J141" i="4"/>
  <c r="O141" i="4"/>
  <c r="R141" i="4"/>
  <c r="AC141" i="4"/>
  <c r="AN141" i="4"/>
  <c r="AW141" i="4"/>
  <c r="BF141" i="4"/>
  <c r="BQ141" i="4"/>
  <c r="BZ141" i="4"/>
  <c r="CK141" i="4"/>
  <c r="CK38" i="4"/>
  <c r="BZ38" i="4"/>
  <c r="BQ38" i="4"/>
  <c r="BF38" i="4"/>
  <c r="AW38" i="4"/>
  <c r="AN38" i="4"/>
  <c r="AC38" i="4"/>
  <c r="R38" i="4"/>
  <c r="O38" i="4"/>
  <c r="J38" i="4"/>
  <c r="CT10" i="4"/>
  <c r="CT11" i="4"/>
  <c r="CT12" i="4"/>
  <c r="CT13" i="4"/>
  <c r="CT14" i="4"/>
  <c r="CT15" i="4"/>
  <c r="CT16" i="4"/>
  <c r="CT18" i="4"/>
  <c r="CT19" i="4"/>
  <c r="CT20" i="4"/>
  <c r="CT21" i="4"/>
  <c r="CT22" i="4"/>
  <c r="CT23" i="4"/>
  <c r="CT24" i="4"/>
  <c r="CT25" i="4"/>
  <c r="CT26" i="4"/>
  <c r="CT27" i="4"/>
  <c r="CT28" i="4"/>
  <c r="CT29" i="4"/>
  <c r="CT30" i="4"/>
  <c r="CT31" i="4"/>
  <c r="CT32" i="4"/>
  <c r="CT33" i="4"/>
  <c r="CT34" i="4"/>
  <c r="CT35" i="4"/>
  <c r="CT36" i="4"/>
  <c r="CT37" i="4"/>
  <c r="CT39" i="4"/>
  <c r="CT40" i="4"/>
  <c r="CT41" i="4"/>
  <c r="CT47" i="4"/>
  <c r="CT48" i="4"/>
  <c r="CT51" i="4"/>
  <c r="CT52" i="4"/>
  <c r="CT55" i="4"/>
  <c r="CT59" i="4"/>
  <c r="CT60" i="4"/>
  <c r="CT64" i="4"/>
  <c r="CT65" i="4"/>
  <c r="CT70" i="4"/>
  <c r="CT71" i="4"/>
  <c r="CT74" i="4"/>
  <c r="CT76" i="4"/>
  <c r="CT77" i="4"/>
  <c r="CT79" i="4"/>
  <c r="CT80" i="4"/>
  <c r="CT81" i="4"/>
  <c r="CT83" i="4"/>
  <c r="CT84" i="4"/>
  <c r="CT85" i="4"/>
  <c r="CT86" i="4"/>
  <c r="CT87" i="4"/>
  <c r="CT88" i="4"/>
  <c r="CT90" i="4"/>
  <c r="CT93" i="4"/>
  <c r="CT96" i="4"/>
  <c r="CT97" i="4"/>
  <c r="CT98" i="4"/>
  <c r="CT100" i="4"/>
  <c r="CT102" i="4"/>
  <c r="CT105" i="4"/>
  <c r="CT106" i="4"/>
  <c r="CT107" i="4"/>
  <c r="CT108" i="4"/>
  <c r="CT109" i="4"/>
  <c r="CT111" i="4"/>
  <c r="CT112" i="4"/>
  <c r="CT114" i="4"/>
  <c r="CT115" i="4"/>
  <c r="CT120" i="4"/>
  <c r="CT121" i="4"/>
  <c r="CT122" i="4"/>
  <c r="CT123" i="4"/>
  <c r="CT124" i="4"/>
  <c r="CT125" i="4"/>
  <c r="CT126" i="4"/>
  <c r="CT136" i="4"/>
  <c r="CT137" i="4"/>
  <c r="CT138" i="4"/>
  <c r="CT146" i="4"/>
  <c r="CT147" i="4"/>
  <c r="CT149" i="4"/>
  <c r="CT150" i="4"/>
  <c r="CT151" i="4"/>
  <c r="CT152" i="4"/>
  <c r="CT154" i="4"/>
  <c r="CT155" i="4"/>
  <c r="CT158" i="4"/>
  <c r="CT159" i="4"/>
  <c r="CT163" i="4"/>
  <c r="CT164" i="4"/>
  <c r="CT9" i="4"/>
  <c r="DC75" i="4" l="1"/>
  <c r="DC61" i="4"/>
  <c r="DC89" i="4"/>
  <c r="E110" i="4"/>
  <c r="DC82" i="4"/>
  <c r="DC46" i="4"/>
  <c r="DC78" i="4"/>
  <c r="DC54" i="4"/>
  <c r="E99" i="4"/>
  <c r="DC63" i="4"/>
  <c r="E128" i="4"/>
  <c r="E165" i="4"/>
  <c r="DC49" i="4"/>
  <c r="E92" i="4"/>
  <c r="E75" i="4"/>
  <c r="DC42" i="4"/>
  <c r="DC57" i="4"/>
  <c r="DC72" i="4"/>
  <c r="DC67" i="4"/>
  <c r="DC17" i="4"/>
  <c r="CT62" i="4"/>
  <c r="E62" i="4" s="1"/>
  <c r="DC58" i="4"/>
  <c r="DC69" i="4"/>
  <c r="DC56" i="4"/>
  <c r="E130" i="4"/>
  <c r="E153" i="4"/>
  <c r="E117" i="4"/>
  <c r="E53" i="4"/>
  <c r="E66" i="4"/>
  <c r="E141" i="4"/>
  <c r="E116" i="4"/>
  <c r="E43" i="4"/>
  <c r="E169" i="4"/>
  <c r="E113" i="4"/>
  <c r="E144" i="4"/>
  <c r="E68" i="4"/>
  <c r="E127" i="4"/>
  <c r="CT38" i="4"/>
  <c r="E38" i="4" s="1"/>
  <c r="CT45" i="4"/>
  <c r="E45" i="4" s="1"/>
  <c r="CT44" i="4"/>
  <c r="E44" i="4" s="1"/>
  <c r="BZ12" i="4"/>
  <c r="BZ13" i="4"/>
  <c r="BZ16" i="4"/>
  <c r="BZ20" i="4"/>
  <c r="BZ19" i="4"/>
  <c r="BZ23" i="4"/>
  <c r="BZ24" i="4"/>
  <c r="BZ25" i="4"/>
  <c r="BZ26" i="4"/>
  <c r="BZ27" i="4"/>
  <c r="BZ21" i="4"/>
  <c r="BZ28" i="4"/>
  <c r="BZ29" i="4"/>
  <c r="BZ30" i="4"/>
  <c r="BZ31" i="4"/>
  <c r="BZ32" i="4"/>
  <c r="BZ33" i="4"/>
  <c r="BZ34" i="4"/>
  <c r="BZ35" i="4"/>
  <c r="BZ36" i="4"/>
  <c r="BZ37" i="4"/>
  <c r="BZ39" i="4"/>
  <c r="BZ40" i="4"/>
  <c r="BZ41" i="4"/>
  <c r="BZ47" i="4"/>
  <c r="BZ48" i="4"/>
  <c r="BZ51" i="4"/>
  <c r="BZ52" i="4"/>
  <c r="BZ55" i="4"/>
  <c r="BZ59" i="4"/>
  <c r="BZ60" i="4"/>
  <c r="BZ64" i="4"/>
  <c r="BZ65" i="4"/>
  <c r="BZ70" i="4"/>
  <c r="BZ71" i="4"/>
  <c r="BZ74" i="4"/>
  <c r="BZ76" i="4"/>
  <c r="BZ77" i="4"/>
  <c r="BZ79" i="4"/>
  <c r="BZ80" i="4"/>
  <c r="BZ81" i="4"/>
  <c r="BZ83" i="4"/>
  <c r="BZ84" i="4"/>
  <c r="BZ85" i="4"/>
  <c r="BZ86" i="4"/>
  <c r="BZ87" i="4"/>
  <c r="BZ88" i="4"/>
  <c r="BZ90" i="4"/>
  <c r="BZ93" i="4"/>
  <c r="BZ96" i="4"/>
  <c r="BZ97" i="4"/>
  <c r="BZ98" i="4"/>
  <c r="BZ100" i="4"/>
  <c r="BZ102" i="4"/>
  <c r="BZ105" i="4"/>
  <c r="BZ106" i="4"/>
  <c r="BZ107" i="4"/>
  <c r="BZ108" i="4"/>
  <c r="BZ109" i="4"/>
  <c r="BZ111" i="4"/>
  <c r="BZ112" i="4"/>
  <c r="BZ114" i="4"/>
  <c r="BZ115" i="4"/>
  <c r="BZ120" i="4"/>
  <c r="BZ121" i="4"/>
  <c r="BZ122" i="4"/>
  <c r="BZ123" i="4"/>
  <c r="BZ124" i="4"/>
  <c r="BZ125" i="4"/>
  <c r="BZ126" i="4"/>
  <c r="BZ136" i="4"/>
  <c r="BZ137" i="4"/>
  <c r="BZ138" i="4"/>
  <c r="BZ146" i="4"/>
  <c r="BZ147" i="4"/>
  <c r="BZ149" i="4"/>
  <c r="BZ150" i="4"/>
  <c r="BZ151" i="4"/>
  <c r="BZ152" i="4"/>
  <c r="BZ154" i="4"/>
  <c r="BZ155" i="4"/>
  <c r="BZ158" i="4"/>
  <c r="BZ159" i="4"/>
  <c r="BZ163" i="4"/>
  <c r="BZ164" i="4"/>
  <c r="CK10" i="4"/>
  <c r="CK12" i="4"/>
  <c r="CK13" i="4"/>
  <c r="CK11" i="4"/>
  <c r="CK14" i="4"/>
  <c r="CK16" i="4"/>
  <c r="CK15" i="4"/>
  <c r="CK18" i="4"/>
  <c r="CK20" i="4"/>
  <c r="CK22" i="4"/>
  <c r="CK23" i="4"/>
  <c r="CK24" i="4"/>
  <c r="CK25" i="4"/>
  <c r="CK26" i="4"/>
  <c r="CK27" i="4"/>
  <c r="CK28" i="4"/>
  <c r="CK29" i="4"/>
  <c r="CK30" i="4"/>
  <c r="CK31" i="4"/>
  <c r="CK33" i="4"/>
  <c r="CK34" i="4"/>
  <c r="CK36" i="4"/>
  <c r="CK37" i="4"/>
  <c r="CK39" i="4"/>
  <c r="CK40" i="4"/>
  <c r="CK41" i="4"/>
  <c r="CK47" i="4"/>
  <c r="CK48" i="4"/>
  <c r="CK51" i="4"/>
  <c r="CK52" i="4"/>
  <c r="CK55" i="4"/>
  <c r="CK59" i="4"/>
  <c r="CK60" i="4"/>
  <c r="CK64" i="4"/>
  <c r="CK65" i="4"/>
  <c r="CK70" i="4"/>
  <c r="CK71" i="4"/>
  <c r="CK74" i="4"/>
  <c r="CK76" i="4"/>
  <c r="CK77" i="4"/>
  <c r="CK79" i="4"/>
  <c r="CK80" i="4"/>
  <c r="CK81" i="4"/>
  <c r="CK83" i="4"/>
  <c r="CK84" i="4"/>
  <c r="CK85" i="4"/>
  <c r="CK86" i="4"/>
  <c r="CK87" i="4"/>
  <c r="CK88" i="4"/>
  <c r="CK90" i="4"/>
  <c r="CK93" i="4"/>
  <c r="CK96" i="4"/>
  <c r="CK97" i="4"/>
  <c r="CK98" i="4"/>
  <c r="CK100" i="4"/>
  <c r="CK102" i="4"/>
  <c r="CK105" i="4"/>
  <c r="CK106" i="4"/>
  <c r="CK107" i="4"/>
  <c r="CK108" i="4"/>
  <c r="CK109" i="4"/>
  <c r="CK111" i="4"/>
  <c r="CK112" i="4"/>
  <c r="CK114" i="4"/>
  <c r="CK115" i="4"/>
  <c r="CK120" i="4"/>
  <c r="CK121" i="4"/>
  <c r="CK122" i="4"/>
  <c r="CK123" i="4"/>
  <c r="CK124" i="4"/>
  <c r="CK125" i="4"/>
  <c r="CK126" i="4"/>
  <c r="CK136" i="4"/>
  <c r="CK137" i="4"/>
  <c r="CK138" i="4"/>
  <c r="CK146" i="4"/>
  <c r="CK147" i="4"/>
  <c r="CK149" i="4"/>
  <c r="CK150" i="4"/>
  <c r="CK151" i="4"/>
  <c r="CK152" i="4"/>
  <c r="CK154" i="4"/>
  <c r="CK155" i="4"/>
  <c r="CK158" i="4"/>
  <c r="CK159" i="4"/>
  <c r="CK163" i="4"/>
  <c r="CK164" i="4"/>
  <c r="CK9" i="4"/>
  <c r="CS35" i="4"/>
  <c r="CK35" i="4" s="1"/>
  <c r="CS32" i="4"/>
  <c r="CK32" i="4" s="1"/>
  <c r="CS19" i="4"/>
  <c r="CQ21" i="4"/>
  <c r="CQ19" i="4"/>
  <c r="CO21" i="4"/>
  <c r="CO19" i="4"/>
  <c r="CJ22" i="4"/>
  <c r="BZ22" i="4" s="1"/>
  <c r="CJ18" i="4"/>
  <c r="BZ18" i="4" s="1"/>
  <c r="CJ14" i="4"/>
  <c r="BZ14" i="4" s="1"/>
  <c r="CJ10" i="4"/>
  <c r="BZ10" i="4" s="1"/>
  <c r="CH11" i="4"/>
  <c r="CH9" i="4"/>
  <c r="CF11" i="4"/>
  <c r="CF9" i="4"/>
  <c r="CD15" i="4"/>
  <c r="BZ15" i="4" s="1"/>
  <c r="CB9" i="4"/>
  <c r="BZ9" i="4" l="1"/>
  <c r="CK21" i="4"/>
  <c r="BZ11" i="4"/>
  <c r="CK19" i="4"/>
  <c r="BQ164" i="4"/>
  <c r="BQ159" i="4"/>
  <c r="BQ48" i="4"/>
  <c r="BQ33" i="4"/>
  <c r="BQ11" i="4"/>
  <c r="BQ20" i="4"/>
  <c r="BQ23" i="4"/>
  <c r="BQ27" i="4"/>
  <c r="BQ28" i="4"/>
  <c r="BQ30" i="4"/>
  <c r="BQ31" i="4"/>
  <c r="BQ35" i="4"/>
  <c r="BQ37" i="4"/>
  <c r="BQ39" i="4"/>
  <c r="BQ47" i="4"/>
  <c r="BQ51" i="4"/>
  <c r="BQ52" i="4"/>
  <c r="BQ55" i="4"/>
  <c r="BQ59" i="4"/>
  <c r="BQ60" i="4"/>
  <c r="BQ64" i="4"/>
  <c r="BQ65" i="4"/>
  <c r="BQ70" i="4"/>
  <c r="BQ71" i="4"/>
  <c r="BQ74" i="4"/>
  <c r="BQ76" i="4"/>
  <c r="BQ77" i="4"/>
  <c r="BQ79" i="4"/>
  <c r="BQ80" i="4"/>
  <c r="BQ81" i="4"/>
  <c r="BQ83" i="4"/>
  <c r="BQ84" i="4"/>
  <c r="BQ85" i="4"/>
  <c r="BQ86" i="4"/>
  <c r="BQ87" i="4"/>
  <c r="BQ88" i="4"/>
  <c r="BQ90" i="4"/>
  <c r="BQ93" i="4"/>
  <c r="BQ96" i="4"/>
  <c r="BQ97" i="4"/>
  <c r="BQ98" i="4"/>
  <c r="BQ100" i="4"/>
  <c r="BQ102" i="4"/>
  <c r="BQ105" i="4"/>
  <c r="BQ106" i="4"/>
  <c r="BQ107" i="4"/>
  <c r="BQ108" i="4"/>
  <c r="BQ109" i="4"/>
  <c r="BQ111" i="4"/>
  <c r="BQ112" i="4"/>
  <c r="BQ114" i="4"/>
  <c r="BQ115" i="4"/>
  <c r="BQ120" i="4"/>
  <c r="BQ121" i="4"/>
  <c r="BQ122" i="4"/>
  <c r="BQ123" i="4"/>
  <c r="BQ124" i="4"/>
  <c r="BQ125" i="4"/>
  <c r="BQ126" i="4"/>
  <c r="BQ136" i="4"/>
  <c r="BQ137" i="4"/>
  <c r="BQ138" i="4"/>
  <c r="BQ146" i="4"/>
  <c r="BQ147" i="4"/>
  <c r="BQ149" i="4"/>
  <c r="BQ150" i="4"/>
  <c r="BQ151" i="4"/>
  <c r="BQ152" i="4"/>
  <c r="BQ154" i="4"/>
  <c r="BQ155" i="4"/>
  <c r="BQ158" i="4"/>
  <c r="BQ163" i="4"/>
  <c r="BQ9" i="4"/>
  <c r="BW32" i="4"/>
  <c r="BW29" i="4"/>
  <c r="BW41" i="4"/>
  <c r="BW14" i="4"/>
  <c r="BW13" i="4"/>
  <c r="BW25" i="4"/>
  <c r="BW34" i="4"/>
  <c r="BW22" i="4"/>
  <c r="BW21" i="4"/>
  <c r="BW19" i="4"/>
  <c r="BW10" i="4"/>
  <c r="BW12" i="4"/>
  <c r="BS34" i="4"/>
  <c r="BS29" i="4"/>
  <c r="BS14" i="4"/>
  <c r="BS36" i="4"/>
  <c r="BQ36" i="4" s="1"/>
  <c r="BS18" i="4"/>
  <c r="BQ18" i="4" s="1"/>
  <c r="BS12" i="4"/>
  <c r="BS13" i="4"/>
  <c r="BS10" i="4"/>
  <c r="BS16" i="4"/>
  <c r="BU40" i="4"/>
  <c r="BQ40" i="4" s="1"/>
  <c r="BU32" i="4"/>
  <c r="BQ32" i="4" s="1"/>
  <c r="BU26" i="4"/>
  <c r="BU25" i="4"/>
  <c r="BU22" i="4"/>
  <c r="BU16" i="4"/>
  <c r="BU15" i="4"/>
  <c r="BQ15" i="4" s="1"/>
  <c r="BU14" i="4"/>
  <c r="BU13" i="4"/>
  <c r="BY41" i="4"/>
  <c r="BY14" i="4"/>
  <c r="BY25" i="4"/>
  <c r="BY13" i="4"/>
  <c r="BY19" i="4"/>
  <c r="BY21" i="4"/>
  <c r="BY34" i="4"/>
  <c r="BY22" i="4"/>
  <c r="BY26" i="4"/>
  <c r="BY24" i="4"/>
  <c r="BQ24" i="4" s="1"/>
  <c r="BY12" i="4"/>
  <c r="BY10" i="4"/>
  <c r="BQ19" i="4" l="1"/>
  <c r="BQ25" i="4"/>
  <c r="BQ10" i="4"/>
  <c r="BQ26" i="4"/>
  <c r="BQ41" i="4"/>
  <c r="BQ29" i="4"/>
  <c r="BQ16" i="4"/>
  <c r="BQ34" i="4"/>
  <c r="BQ14" i="4"/>
  <c r="BQ13" i="4"/>
  <c r="BQ12" i="4"/>
  <c r="BQ21" i="4"/>
  <c r="BQ22" i="4"/>
  <c r="BF154" i="4"/>
  <c r="BF102" i="4"/>
  <c r="BF65" i="4"/>
  <c r="BF60" i="4"/>
  <c r="BF52" i="4"/>
  <c r="BF36" i="4"/>
  <c r="BF27" i="4"/>
  <c r="BF19" i="4"/>
  <c r="BF28" i="4"/>
  <c r="BF21" i="4"/>
  <c r="BF30" i="4"/>
  <c r="BF32" i="4"/>
  <c r="BF35" i="4"/>
  <c r="BF37" i="4"/>
  <c r="BF47" i="4"/>
  <c r="BF51" i="4"/>
  <c r="BF55" i="4"/>
  <c r="BF34" i="4"/>
  <c r="BF64" i="4"/>
  <c r="BF41" i="4"/>
  <c r="BF71" i="4"/>
  <c r="BF74" i="4"/>
  <c r="BF76" i="4"/>
  <c r="BF77" i="4"/>
  <c r="BF79" i="4"/>
  <c r="BF80" i="4"/>
  <c r="BF81" i="4"/>
  <c r="BF83" i="4"/>
  <c r="BF84" i="4"/>
  <c r="BF85" i="4"/>
  <c r="BF86" i="4"/>
  <c r="BF87" i="4"/>
  <c r="BF88" i="4"/>
  <c r="BF90" i="4"/>
  <c r="BF93" i="4"/>
  <c r="BF96" i="4"/>
  <c r="BF97" i="4"/>
  <c r="BF98" i="4"/>
  <c r="BF100" i="4"/>
  <c r="BF105" i="4"/>
  <c r="BF106" i="4"/>
  <c r="BF107" i="4"/>
  <c r="BF108" i="4"/>
  <c r="BF109" i="4"/>
  <c r="BF111" i="4"/>
  <c r="BF112" i="4"/>
  <c r="BF114" i="4"/>
  <c r="BF115" i="4"/>
  <c r="BF120" i="4"/>
  <c r="BF121" i="4"/>
  <c r="BF122" i="4"/>
  <c r="BF123" i="4"/>
  <c r="BF124" i="4"/>
  <c r="BF125" i="4"/>
  <c r="BF126" i="4"/>
  <c r="BF136" i="4"/>
  <c r="BF137" i="4"/>
  <c r="BF138" i="4"/>
  <c r="BF146" i="4"/>
  <c r="BF147" i="4"/>
  <c r="BF149" i="4"/>
  <c r="BF150" i="4"/>
  <c r="BF151" i="4"/>
  <c r="BF152" i="4"/>
  <c r="BF155" i="4"/>
  <c r="BF158" i="4"/>
  <c r="BF159" i="4"/>
  <c r="BF163" i="4"/>
  <c r="BF164" i="4"/>
  <c r="BL70" i="4"/>
  <c r="BF70" i="4" s="1"/>
  <c r="BL48" i="4"/>
  <c r="BF48" i="4" s="1"/>
  <c r="BL59" i="4"/>
  <c r="BF59" i="4" s="1"/>
  <c r="BL40" i="4"/>
  <c r="BF40" i="4" s="1"/>
  <c r="BL24" i="4"/>
  <c r="BL31" i="4"/>
  <c r="BL23" i="4"/>
  <c r="BL39" i="4"/>
  <c r="BF39" i="4" s="1"/>
  <c r="BL15" i="4"/>
  <c r="BJ14" i="4"/>
  <c r="BJ16" i="4"/>
  <c r="BJ23" i="4"/>
  <c r="BJ26" i="4"/>
  <c r="BF26" i="4" s="1"/>
  <c r="BJ25" i="4"/>
  <c r="BF25" i="4" s="1"/>
  <c r="BJ20" i="4"/>
  <c r="BJ12" i="4"/>
  <c r="BJ11" i="4"/>
  <c r="BJ15" i="4"/>
  <c r="BN10" i="4"/>
  <c r="BN14" i="4"/>
  <c r="BN18" i="4"/>
  <c r="BN22" i="4"/>
  <c r="BN23" i="4"/>
  <c r="BN12" i="4"/>
  <c r="BN11" i="4"/>
  <c r="BN9" i="4"/>
  <c r="BP29" i="4"/>
  <c r="BF29" i="4" s="1"/>
  <c r="BP33" i="4"/>
  <c r="BF33" i="4" s="1"/>
  <c r="BP24" i="4"/>
  <c r="BP20" i="4"/>
  <c r="BP18" i="4"/>
  <c r="BP22" i="4"/>
  <c r="BP10" i="4"/>
  <c r="BP14" i="4"/>
  <c r="BP23" i="4"/>
  <c r="BP12" i="4"/>
  <c r="BP11" i="4"/>
  <c r="BP9" i="4"/>
  <c r="BH10" i="4"/>
  <c r="BH23" i="4"/>
  <c r="BH16" i="4"/>
  <c r="BH13" i="4"/>
  <c r="BF13" i="4" s="1"/>
  <c r="BH15" i="4"/>
  <c r="BH31" i="4"/>
  <c r="BH12" i="4"/>
  <c r="BH20" i="4"/>
  <c r="BH9" i="4"/>
  <c r="BF14" i="4" l="1"/>
  <c r="BF15" i="4"/>
  <c r="BF16" i="4"/>
  <c r="BF20" i="4"/>
  <c r="BF23" i="4"/>
  <c r="BF22" i="4"/>
  <c r="BF10" i="4"/>
  <c r="BF18" i="4"/>
  <c r="BF9" i="4"/>
  <c r="BF12" i="4"/>
  <c r="BF24" i="4"/>
  <c r="BF31" i="4"/>
  <c r="BF11" i="4"/>
  <c r="BE64" i="4"/>
  <c r="BE52" i="4"/>
  <c r="AW52" i="4" s="1"/>
  <c r="BE65" i="4"/>
  <c r="AW65" i="4" s="1"/>
  <c r="BE51" i="4"/>
  <c r="BE55" i="4"/>
  <c r="BE47" i="4"/>
  <c r="BE35" i="4"/>
  <c r="BE32" i="4"/>
  <c r="BE37" i="4"/>
  <c r="BE30" i="4"/>
  <c r="BE27" i="4"/>
  <c r="BE21" i="4"/>
  <c r="BE19" i="4"/>
  <c r="BC74" i="4"/>
  <c r="AW74" i="4" s="1"/>
  <c r="BC64" i="4"/>
  <c r="BC55" i="4"/>
  <c r="J55" i="4"/>
  <c r="O55" i="4"/>
  <c r="R55" i="4"/>
  <c r="AC55" i="4"/>
  <c r="AN55" i="4"/>
  <c r="BC47" i="4"/>
  <c r="BC51" i="4"/>
  <c r="BC35" i="4"/>
  <c r="BC32" i="4"/>
  <c r="BC37" i="4"/>
  <c r="BC30" i="4"/>
  <c r="BC27" i="4"/>
  <c r="BC19" i="4"/>
  <c r="BC21" i="4"/>
  <c r="AY30" i="4"/>
  <c r="AY35" i="4"/>
  <c r="AY32" i="4"/>
  <c r="AY21" i="4"/>
  <c r="AY19" i="4"/>
  <c r="AY27" i="4"/>
  <c r="BA40" i="4"/>
  <c r="AW40" i="4" s="1"/>
  <c r="BA35" i="4"/>
  <c r="BA30" i="4"/>
  <c r="BA32" i="4"/>
  <c r="BA21" i="4"/>
  <c r="BA19" i="4"/>
  <c r="AW13" i="4"/>
  <c r="AW11" i="4"/>
  <c r="AW14" i="4"/>
  <c r="AW10" i="4"/>
  <c r="AW18" i="4"/>
  <c r="AW16" i="4"/>
  <c r="AW28" i="4"/>
  <c r="AW25" i="4"/>
  <c r="AW20" i="4"/>
  <c r="AW15" i="4"/>
  <c r="AW24" i="4"/>
  <c r="AW22" i="4"/>
  <c r="AW12" i="4"/>
  <c r="AW23" i="4"/>
  <c r="AW26" i="4"/>
  <c r="AW29" i="4"/>
  <c r="AW33" i="4"/>
  <c r="AW31" i="4"/>
  <c r="AW36" i="4"/>
  <c r="AW34" i="4"/>
  <c r="AW48" i="4"/>
  <c r="AW60" i="4"/>
  <c r="AW41" i="4"/>
  <c r="AW71" i="4"/>
  <c r="AW76" i="4"/>
  <c r="AW77" i="4"/>
  <c r="AW79" i="4"/>
  <c r="AW80" i="4"/>
  <c r="AW81" i="4"/>
  <c r="AW83" i="4"/>
  <c r="AW84" i="4"/>
  <c r="AW85" i="4"/>
  <c r="AW86" i="4"/>
  <c r="AW87" i="4"/>
  <c r="AW88" i="4"/>
  <c r="AW90" i="4"/>
  <c r="AW93" i="4"/>
  <c r="AW96" i="4"/>
  <c r="AW97" i="4"/>
  <c r="AW98" i="4"/>
  <c r="AW100" i="4"/>
  <c r="AW102" i="4"/>
  <c r="AW105" i="4"/>
  <c r="AW106" i="4"/>
  <c r="AW107" i="4"/>
  <c r="AW108" i="4"/>
  <c r="AW109" i="4"/>
  <c r="AW111" i="4"/>
  <c r="AW112" i="4"/>
  <c r="AW114" i="4"/>
  <c r="AW115" i="4"/>
  <c r="AW120" i="4"/>
  <c r="AW121" i="4"/>
  <c r="AW122" i="4"/>
  <c r="AW123" i="4"/>
  <c r="AW124" i="4"/>
  <c r="AW125" i="4"/>
  <c r="AW126" i="4"/>
  <c r="AW59" i="4"/>
  <c r="AW136" i="4"/>
  <c r="AW137" i="4"/>
  <c r="AW138" i="4"/>
  <c r="AW70" i="4"/>
  <c r="AW146" i="4"/>
  <c r="AW147" i="4"/>
  <c r="AW149" i="4"/>
  <c r="AW150" i="4"/>
  <c r="AW151" i="4"/>
  <c r="AW39" i="4"/>
  <c r="AW152" i="4"/>
  <c r="AW154" i="4"/>
  <c r="AW155" i="4"/>
  <c r="AW158" i="4"/>
  <c r="AW159" i="4"/>
  <c r="AW163" i="4"/>
  <c r="AW164" i="4"/>
  <c r="AW9" i="4"/>
  <c r="AN164" i="4"/>
  <c r="AN163" i="4"/>
  <c r="AN146" i="4"/>
  <c r="AN126" i="4"/>
  <c r="AV34" i="4"/>
  <c r="AN34" i="4" s="1"/>
  <c r="AV22" i="4"/>
  <c r="AV18" i="4"/>
  <c r="AV33" i="4"/>
  <c r="AV16" i="4"/>
  <c r="AV13" i="4"/>
  <c r="AV25" i="4"/>
  <c r="AV29" i="4"/>
  <c r="AV24" i="4"/>
  <c r="AN24" i="4" s="1"/>
  <c r="AV26" i="4"/>
  <c r="AV10" i="4"/>
  <c r="AV14" i="4"/>
  <c r="AT60" i="4"/>
  <c r="AN60" i="4" s="1"/>
  <c r="AT52" i="4"/>
  <c r="AN52" i="4" s="1"/>
  <c r="AT25" i="4"/>
  <c r="AT29" i="4"/>
  <c r="AT16" i="4"/>
  <c r="AT13" i="4"/>
  <c r="AT10" i="4"/>
  <c r="AT14" i="4"/>
  <c r="AT18" i="4"/>
  <c r="AT22" i="4"/>
  <c r="AP33" i="4"/>
  <c r="AP36" i="4"/>
  <c r="AN36" i="4" s="1"/>
  <c r="AP14" i="4"/>
  <c r="AP22" i="4"/>
  <c r="AP25" i="4"/>
  <c r="AP10" i="4"/>
  <c r="AP16" i="4"/>
  <c r="AP18" i="4"/>
  <c r="AP13" i="4"/>
  <c r="AR16" i="4"/>
  <c r="AR14" i="4"/>
  <c r="AR26" i="4"/>
  <c r="AN26" i="4" s="1"/>
  <c r="AR18" i="4"/>
  <c r="AR33" i="4"/>
  <c r="AR25" i="4"/>
  <c r="AR29" i="4"/>
  <c r="AR10" i="4"/>
  <c r="AR13" i="4"/>
  <c r="AN11" i="4"/>
  <c r="AN28" i="4"/>
  <c r="AN20" i="4"/>
  <c r="AN15" i="4"/>
  <c r="AN12" i="4"/>
  <c r="AN23" i="4"/>
  <c r="AN30" i="4"/>
  <c r="AN27" i="4"/>
  <c r="AN31" i="4"/>
  <c r="AN19" i="4"/>
  <c r="AN48" i="4"/>
  <c r="AN41" i="4"/>
  <c r="AN35" i="4"/>
  <c r="AN21" i="4"/>
  <c r="AN40" i="4"/>
  <c r="AN32" i="4"/>
  <c r="AN71" i="4"/>
  <c r="AN37" i="4"/>
  <c r="AN76" i="4"/>
  <c r="AN77" i="4"/>
  <c r="AN79" i="4"/>
  <c r="AN80" i="4"/>
  <c r="AN81" i="4"/>
  <c r="AN83" i="4"/>
  <c r="AN84" i="4"/>
  <c r="AN85" i="4"/>
  <c r="AN86" i="4"/>
  <c r="AN87" i="4"/>
  <c r="AN88" i="4"/>
  <c r="AN90" i="4"/>
  <c r="AN93" i="4"/>
  <c r="AN65" i="4"/>
  <c r="AN96" i="4"/>
  <c r="AN97" i="4"/>
  <c r="AN98" i="4"/>
  <c r="AN100" i="4"/>
  <c r="AN102" i="4"/>
  <c r="AN105" i="4"/>
  <c r="AN106" i="4"/>
  <c r="AN107" i="4"/>
  <c r="AN108" i="4"/>
  <c r="AN109" i="4"/>
  <c r="AN74" i="4"/>
  <c r="AN111" i="4"/>
  <c r="AN112" i="4"/>
  <c r="AN114" i="4"/>
  <c r="AN115" i="4"/>
  <c r="AN120" i="4"/>
  <c r="AN121" i="4"/>
  <c r="AN122" i="4"/>
  <c r="AN123" i="4"/>
  <c r="AN124" i="4"/>
  <c r="AN125" i="4"/>
  <c r="AN59" i="4"/>
  <c r="AN136" i="4"/>
  <c r="AN137" i="4"/>
  <c r="AN138" i="4"/>
  <c r="AN47" i="4"/>
  <c r="AN70" i="4"/>
  <c r="AN51" i="4"/>
  <c r="AN147" i="4"/>
  <c r="AN149" i="4"/>
  <c r="AN150" i="4"/>
  <c r="AN151" i="4"/>
  <c r="AN39" i="4"/>
  <c r="AN152" i="4"/>
  <c r="AN154" i="4"/>
  <c r="AN155" i="4"/>
  <c r="AN64" i="4"/>
  <c r="AN158" i="4"/>
  <c r="AN159" i="4"/>
  <c r="AN9" i="4"/>
  <c r="AC28" i="4"/>
  <c r="AC20" i="4"/>
  <c r="AC23" i="4"/>
  <c r="AC14" i="4"/>
  <c r="AC13" i="4"/>
  <c r="AC18" i="4"/>
  <c r="AC16" i="4"/>
  <c r="AC24" i="4"/>
  <c r="AC10" i="4"/>
  <c r="AC25" i="4"/>
  <c r="AC30" i="4"/>
  <c r="AC27" i="4"/>
  <c r="AC31" i="4"/>
  <c r="AC19" i="4"/>
  <c r="AC26" i="4"/>
  <c r="AC22" i="4"/>
  <c r="AC36" i="4"/>
  <c r="AC33" i="4"/>
  <c r="AC48" i="4"/>
  <c r="AC41" i="4"/>
  <c r="AC35" i="4"/>
  <c r="AC21" i="4"/>
  <c r="AC40" i="4"/>
  <c r="AC32" i="4"/>
  <c r="AC71" i="4"/>
  <c r="AC37" i="4"/>
  <c r="AC76" i="4"/>
  <c r="AC77" i="4"/>
  <c r="AC79" i="4"/>
  <c r="AC80" i="4"/>
  <c r="AC81" i="4"/>
  <c r="AC83" i="4"/>
  <c r="AC84" i="4"/>
  <c r="AC85" i="4"/>
  <c r="AC86" i="4"/>
  <c r="AC87" i="4"/>
  <c r="AC88" i="4"/>
  <c r="AC90" i="4"/>
  <c r="AC93" i="4"/>
  <c r="AC65" i="4"/>
  <c r="AC96" i="4"/>
  <c r="AC97" i="4"/>
  <c r="AC98" i="4"/>
  <c r="AC100" i="4"/>
  <c r="AC102" i="4"/>
  <c r="AC105" i="4"/>
  <c r="AC106" i="4"/>
  <c r="AC107" i="4"/>
  <c r="AC108" i="4"/>
  <c r="AC109" i="4"/>
  <c r="AC74" i="4"/>
  <c r="AC111" i="4"/>
  <c r="AC112" i="4"/>
  <c r="AC114" i="4"/>
  <c r="AC115" i="4"/>
  <c r="AC120" i="4"/>
  <c r="AC121" i="4"/>
  <c r="AC29" i="4"/>
  <c r="AC52" i="4"/>
  <c r="AC122" i="4"/>
  <c r="AC123" i="4"/>
  <c r="AC124" i="4"/>
  <c r="AC125" i="4"/>
  <c r="AC126" i="4"/>
  <c r="AC59" i="4"/>
  <c r="AC136" i="4"/>
  <c r="AC137" i="4"/>
  <c r="AC138" i="4"/>
  <c r="AC47" i="4"/>
  <c r="AC70" i="4"/>
  <c r="AC146" i="4"/>
  <c r="AC51" i="4"/>
  <c r="AC147" i="4"/>
  <c r="AC149" i="4"/>
  <c r="AC150" i="4"/>
  <c r="AC151" i="4"/>
  <c r="AC39" i="4"/>
  <c r="AC152" i="4"/>
  <c r="AC154" i="4"/>
  <c r="AC155" i="4"/>
  <c r="AC64" i="4"/>
  <c r="AC60" i="4"/>
  <c r="AC158" i="4"/>
  <c r="AC159" i="4"/>
  <c r="AC163" i="4"/>
  <c r="AC164" i="4"/>
  <c r="AC34" i="4"/>
  <c r="AM12" i="4"/>
  <c r="AC12" i="4" s="1"/>
  <c r="AM11" i="4"/>
  <c r="AM9" i="4"/>
  <c r="AM15" i="4"/>
  <c r="AG15" i="4"/>
  <c r="AI11" i="4"/>
  <c r="AI9" i="4"/>
  <c r="AK11" i="4"/>
  <c r="AK9" i="4"/>
  <c r="AE9" i="4"/>
  <c r="AW30" i="4" l="1"/>
  <c r="AW21" i="4"/>
  <c r="AW35" i="4"/>
  <c r="AW19" i="4"/>
  <c r="AW32" i="4"/>
  <c r="AW64" i="4"/>
  <c r="AW27" i="4"/>
  <c r="AN25" i="4"/>
  <c r="AW55" i="4"/>
  <c r="E55" i="4" s="1"/>
  <c r="AW51" i="4"/>
  <c r="AW47" i="4"/>
  <c r="AW37" i="4"/>
  <c r="AN16" i="4"/>
  <c r="AN29" i="4"/>
  <c r="AN14" i="4"/>
  <c r="AN33" i="4"/>
  <c r="AN18" i="4"/>
  <c r="AN13" i="4"/>
  <c r="AN10" i="4"/>
  <c r="AC11" i="4"/>
  <c r="AN22" i="4"/>
  <c r="AC15" i="4"/>
  <c r="AC9" i="4"/>
  <c r="R146" i="4"/>
  <c r="R37" i="4"/>
  <c r="AB71" i="4"/>
  <c r="AB41" i="4"/>
  <c r="R41" i="4" s="1"/>
  <c r="AB48" i="4"/>
  <c r="AB24" i="4"/>
  <c r="AB26" i="4"/>
  <c r="R26" i="4" s="1"/>
  <c r="AB30" i="4"/>
  <c r="R30" i="4" s="1"/>
  <c r="AB25" i="4"/>
  <c r="AB28" i="4"/>
  <c r="AB15" i="4"/>
  <c r="X22" i="4"/>
  <c r="X31" i="4"/>
  <c r="X20" i="4"/>
  <c r="X24" i="4"/>
  <c r="X10" i="4"/>
  <c r="X14" i="4"/>
  <c r="X12" i="4"/>
  <c r="X13" i="4"/>
  <c r="X18" i="4"/>
  <c r="X23" i="4"/>
  <c r="X9" i="4"/>
  <c r="X11" i="4"/>
  <c r="V16" i="4"/>
  <c r="V10" i="4"/>
  <c r="V12" i="4"/>
  <c r="V20" i="4"/>
  <c r="V23" i="4"/>
  <c r="V11" i="4"/>
  <c r="V15" i="4"/>
  <c r="V9" i="4"/>
  <c r="Z36" i="4"/>
  <c r="R36" i="4" s="1"/>
  <c r="Z22" i="4"/>
  <c r="Z18" i="4"/>
  <c r="Z33" i="4"/>
  <c r="Z12" i="4"/>
  <c r="Z13" i="4"/>
  <c r="Z27" i="4"/>
  <c r="Z28" i="4"/>
  <c r="Z16" i="4"/>
  <c r="Z23" i="4"/>
  <c r="Z31" i="4"/>
  <c r="Z20" i="4"/>
  <c r="Z24" i="4"/>
  <c r="Z10" i="4"/>
  <c r="Z14" i="4"/>
  <c r="Z9" i="4"/>
  <c r="Z11" i="4"/>
  <c r="T11" i="4"/>
  <c r="T15" i="4"/>
  <c r="T28" i="4"/>
  <c r="T18" i="4"/>
  <c r="T16" i="4"/>
  <c r="T12" i="4"/>
  <c r="T13" i="4"/>
  <c r="T20" i="4"/>
  <c r="R24" i="4" l="1"/>
  <c r="R11" i="4"/>
  <c r="R23" i="4"/>
  <c r="R20" i="4"/>
  <c r="R12" i="4"/>
  <c r="R10" i="4"/>
  <c r="R16" i="4"/>
  <c r="R15" i="4"/>
  <c r="T9" i="4"/>
  <c r="R9" i="4" s="1"/>
  <c r="R79" i="4"/>
  <c r="R80" i="4"/>
  <c r="R81" i="4"/>
  <c r="R83" i="4"/>
  <c r="R84" i="4"/>
  <c r="R85" i="4"/>
  <c r="R86" i="4"/>
  <c r="R87" i="4"/>
  <c r="R88" i="4"/>
  <c r="R48" i="4"/>
  <c r="R90" i="4"/>
  <c r="R93" i="4"/>
  <c r="R65" i="4"/>
  <c r="R22" i="4"/>
  <c r="R96" i="4"/>
  <c r="R97" i="4"/>
  <c r="R98" i="4"/>
  <c r="R18" i="4"/>
  <c r="R25" i="4"/>
  <c r="R100" i="4"/>
  <c r="R102" i="4"/>
  <c r="R105" i="4"/>
  <c r="R106" i="4"/>
  <c r="R107" i="4"/>
  <c r="R108" i="4"/>
  <c r="R109" i="4"/>
  <c r="R74" i="4"/>
  <c r="R111" i="4"/>
  <c r="R112" i="4"/>
  <c r="R114" i="4"/>
  <c r="R27" i="4"/>
  <c r="R115" i="4"/>
  <c r="R120" i="4"/>
  <c r="R121" i="4"/>
  <c r="R29" i="4"/>
  <c r="R76" i="4"/>
  <c r="R52" i="4"/>
  <c r="R122" i="4"/>
  <c r="R123" i="4"/>
  <c r="R124" i="4"/>
  <c r="R125" i="4"/>
  <c r="R126" i="4"/>
  <c r="R71" i="4"/>
  <c r="R59" i="4"/>
  <c r="R28" i="4"/>
  <c r="R13" i="4"/>
  <c r="R136" i="4"/>
  <c r="R137" i="4"/>
  <c r="R14" i="4"/>
  <c r="R138" i="4"/>
  <c r="R31" i="4"/>
  <c r="R35" i="4"/>
  <c r="R47" i="4"/>
  <c r="R70" i="4"/>
  <c r="R19" i="4"/>
  <c r="R21" i="4"/>
  <c r="R51" i="4"/>
  <c r="R147" i="4"/>
  <c r="R40" i="4"/>
  <c r="R149" i="4"/>
  <c r="R150" i="4"/>
  <c r="R151" i="4"/>
  <c r="R39" i="4"/>
  <c r="R152" i="4"/>
  <c r="R32" i="4"/>
  <c r="R154" i="4"/>
  <c r="R155" i="4"/>
  <c r="R64" i="4"/>
  <c r="R60" i="4"/>
  <c r="R158" i="4"/>
  <c r="R159" i="4"/>
  <c r="R33" i="4"/>
  <c r="R163" i="4"/>
  <c r="R164" i="4"/>
  <c r="R34" i="4"/>
  <c r="R77" i="4"/>
  <c r="Q33" i="4"/>
  <c r="O33" i="4" s="1"/>
  <c r="Q30" i="4"/>
  <c r="O30" i="4" s="1"/>
  <c r="Q36" i="4"/>
  <c r="O36" i="4" s="1"/>
  <c r="Q24" i="4"/>
  <c r="O24" i="4" s="1"/>
  <c r="Q25" i="4"/>
  <c r="O25" i="4" s="1"/>
  <c r="Q16" i="4"/>
  <c r="O16" i="4" s="1"/>
  <c r="Q14" i="4"/>
  <c r="O14" i="4" s="1"/>
  <c r="Q23" i="4"/>
  <c r="O23" i="4" s="1"/>
  <c r="O79" i="4"/>
  <c r="O80" i="4"/>
  <c r="O81" i="4"/>
  <c r="O83" i="4"/>
  <c r="O84" i="4"/>
  <c r="O85" i="4"/>
  <c r="O86" i="4"/>
  <c r="O87" i="4"/>
  <c r="O88" i="4"/>
  <c r="O48" i="4"/>
  <c r="O90" i="4"/>
  <c r="O93" i="4"/>
  <c r="O65" i="4"/>
  <c r="O15" i="4"/>
  <c r="O22" i="4"/>
  <c r="O96" i="4"/>
  <c r="O97" i="4"/>
  <c r="O98" i="4"/>
  <c r="O18" i="4"/>
  <c r="O37" i="4"/>
  <c r="O100" i="4"/>
  <c r="O11" i="4"/>
  <c r="O102" i="4"/>
  <c r="O105" i="4"/>
  <c r="O26" i="4"/>
  <c r="O106" i="4"/>
  <c r="O107" i="4"/>
  <c r="O108" i="4"/>
  <c r="O109" i="4"/>
  <c r="O74" i="4"/>
  <c r="O111" i="4"/>
  <c r="O112" i="4"/>
  <c r="O20" i="4"/>
  <c r="O114" i="4"/>
  <c r="O27" i="4"/>
  <c r="O115" i="4"/>
  <c r="O120" i="4"/>
  <c r="O121" i="4"/>
  <c r="O10" i="4"/>
  <c r="O29" i="4"/>
  <c r="O76" i="4"/>
  <c r="O52" i="4"/>
  <c r="O122" i="4"/>
  <c r="O123" i="4"/>
  <c r="O124" i="4"/>
  <c r="O125" i="4"/>
  <c r="O126" i="4"/>
  <c r="O71" i="4"/>
  <c r="O41" i="4"/>
  <c r="O59" i="4"/>
  <c r="O13" i="4"/>
  <c r="O136" i="4"/>
  <c r="O137" i="4"/>
  <c r="O138" i="4"/>
  <c r="O31" i="4"/>
  <c r="O35" i="4"/>
  <c r="O47" i="4"/>
  <c r="O70" i="4"/>
  <c r="O19" i="4"/>
  <c r="O21" i="4"/>
  <c r="O146" i="4"/>
  <c r="O51" i="4"/>
  <c r="O147" i="4"/>
  <c r="O40" i="4"/>
  <c r="O149" i="4"/>
  <c r="O150" i="4"/>
  <c r="O151" i="4"/>
  <c r="O39" i="4"/>
  <c r="O152" i="4"/>
  <c r="O32" i="4"/>
  <c r="O154" i="4"/>
  <c r="O155" i="4"/>
  <c r="O64" i="4"/>
  <c r="O60" i="4"/>
  <c r="O158" i="4"/>
  <c r="O159" i="4"/>
  <c r="O9" i="4"/>
  <c r="O12" i="4"/>
  <c r="O163" i="4"/>
  <c r="O164" i="4"/>
  <c r="O34" i="4"/>
  <c r="O77" i="4"/>
  <c r="Q28" i="4"/>
  <c r="O28" i="4" s="1"/>
  <c r="L76" i="4" l="1"/>
  <c r="L37" i="4"/>
  <c r="L35" i="4"/>
  <c r="L30" i="4"/>
  <c r="J30" i="4" s="1"/>
  <c r="E30" i="4" s="1"/>
  <c r="L32" i="4"/>
  <c r="J32" i="4" s="1"/>
  <c r="E32" i="4" s="1"/>
  <c r="L21" i="4"/>
  <c r="J21" i="4" s="1"/>
  <c r="E21" i="4" s="1"/>
  <c r="L27" i="4"/>
  <c r="J27" i="4" s="1"/>
  <c r="E27" i="4" s="1"/>
  <c r="L19" i="4" l="1"/>
  <c r="J19" i="4" s="1"/>
  <c r="E19" i="4" s="1"/>
  <c r="N21" i="4"/>
  <c r="N30" i="4"/>
  <c r="E56" i="4"/>
  <c r="N32" i="4"/>
  <c r="N40" i="4"/>
  <c r="J40" i="4" s="1"/>
  <c r="E40" i="4" s="1"/>
  <c r="N35" i="4"/>
  <c r="J35" i="4" s="1"/>
  <c r="E35" i="4" s="1"/>
  <c r="N27" i="4"/>
  <c r="N19" i="4"/>
  <c r="E157" i="4"/>
  <c r="J79" i="4"/>
  <c r="E79" i="4" s="1"/>
  <c r="J80" i="4"/>
  <c r="E80" i="4" s="1"/>
  <c r="J81" i="4"/>
  <c r="E81" i="4" s="1"/>
  <c r="E101" i="4"/>
  <c r="J83" i="4"/>
  <c r="E83" i="4" s="1"/>
  <c r="J84" i="4"/>
  <c r="E84" i="4" s="1"/>
  <c r="J85" i="4"/>
  <c r="E85" i="4" s="1"/>
  <c r="J86" i="4"/>
  <c r="E86" i="4" s="1"/>
  <c r="J87" i="4"/>
  <c r="E87" i="4" s="1"/>
  <c r="J88" i="4"/>
  <c r="E88" i="4" s="1"/>
  <c r="J48" i="4"/>
  <c r="E48" i="4" s="1"/>
  <c r="E103" i="4"/>
  <c r="J90" i="4"/>
  <c r="E90" i="4" s="1"/>
  <c r="E94" i="4"/>
  <c r="E54" i="4"/>
  <c r="J93" i="4"/>
  <c r="E93" i="4" s="1"/>
  <c r="J65" i="4"/>
  <c r="E65" i="4" s="1"/>
  <c r="J15" i="4"/>
  <c r="E15" i="4" s="1"/>
  <c r="E63" i="4"/>
  <c r="J22" i="4"/>
  <c r="E22" i="4" s="1"/>
  <c r="E104" i="4"/>
  <c r="J96" i="4"/>
  <c r="E96" i="4" s="1"/>
  <c r="J97" i="4"/>
  <c r="E97" i="4" s="1"/>
  <c r="J98" i="4"/>
  <c r="E98" i="4" s="1"/>
  <c r="J18" i="4"/>
  <c r="E18" i="4" s="1"/>
  <c r="J25" i="4"/>
  <c r="E25" i="4" s="1"/>
  <c r="J37" i="4"/>
  <c r="E37" i="4" s="1"/>
  <c r="J100" i="4"/>
  <c r="E100" i="4" s="1"/>
  <c r="J11" i="4"/>
  <c r="E11" i="4" s="1"/>
  <c r="E67" i="4"/>
  <c r="E82" i="4"/>
  <c r="J102" i="4"/>
  <c r="E102" i="4" s="1"/>
  <c r="E118" i="4"/>
  <c r="E119" i="4"/>
  <c r="J105" i="4"/>
  <c r="E105" i="4" s="1"/>
  <c r="J26" i="4"/>
  <c r="E26" i="4" s="1"/>
  <c r="E91" i="4"/>
  <c r="J106" i="4"/>
  <c r="E106" i="4" s="1"/>
  <c r="J107" i="4"/>
  <c r="E107" i="4" s="1"/>
  <c r="J108" i="4"/>
  <c r="E108" i="4" s="1"/>
  <c r="J109" i="4"/>
  <c r="E109" i="4" s="1"/>
  <c r="E42" i="4"/>
  <c r="J74" i="4"/>
  <c r="E74" i="4" s="1"/>
  <c r="E129" i="4"/>
  <c r="J111" i="4"/>
  <c r="E111" i="4" s="1"/>
  <c r="J112" i="4"/>
  <c r="E112" i="4" s="1"/>
  <c r="E95" i="4"/>
  <c r="J20" i="4"/>
  <c r="E20" i="4" s="1"/>
  <c r="J24" i="4"/>
  <c r="E24" i="4" s="1"/>
  <c r="J114" i="4"/>
  <c r="E114" i="4" s="1"/>
  <c r="E50" i="4"/>
  <c r="J115" i="4"/>
  <c r="E115" i="4" s="1"/>
  <c r="E58" i="4"/>
  <c r="E46" i="4"/>
  <c r="E131" i="4"/>
  <c r="E132" i="4"/>
  <c r="E133" i="4"/>
  <c r="E134" i="4"/>
  <c r="J16" i="4"/>
  <c r="E16" i="4" s="1"/>
  <c r="J120" i="4"/>
  <c r="E120" i="4" s="1"/>
  <c r="J121" i="4"/>
  <c r="E121" i="4" s="1"/>
  <c r="E17" i="4"/>
  <c r="J10" i="4"/>
  <c r="E10" i="4" s="1"/>
  <c r="J29" i="4"/>
  <c r="E29" i="4" s="1"/>
  <c r="J76" i="4"/>
  <c r="E76" i="4" s="1"/>
  <c r="J52" i="4"/>
  <c r="E52" i="4" s="1"/>
  <c r="J122" i="4"/>
  <c r="E122" i="4" s="1"/>
  <c r="J123" i="4"/>
  <c r="E123" i="4" s="1"/>
  <c r="J124" i="4"/>
  <c r="E124" i="4" s="1"/>
  <c r="J125" i="4"/>
  <c r="E125" i="4" s="1"/>
  <c r="J126" i="4"/>
  <c r="E126" i="4" s="1"/>
  <c r="J71" i="4"/>
  <c r="E71" i="4" s="1"/>
  <c r="J41" i="4"/>
  <c r="E41" i="4" s="1"/>
  <c r="E73" i="4"/>
  <c r="E135" i="4"/>
  <c r="J59" i="4"/>
  <c r="E59" i="4" s="1"/>
  <c r="E57" i="4"/>
  <c r="E139" i="4"/>
  <c r="J28" i="4"/>
  <c r="E28" i="4" s="1"/>
  <c r="E140" i="4"/>
  <c r="E142" i="4"/>
  <c r="E143" i="4"/>
  <c r="J13" i="4"/>
  <c r="E13" i="4" s="1"/>
  <c r="E145" i="4"/>
  <c r="E148" i="4"/>
  <c r="E156" i="4"/>
  <c r="E72" i="4"/>
  <c r="E69" i="4"/>
  <c r="J136" i="4"/>
  <c r="E136" i="4" s="1"/>
  <c r="J137" i="4"/>
  <c r="E137" i="4" s="1"/>
  <c r="J14" i="4"/>
  <c r="E14" i="4" s="1"/>
  <c r="J138" i="4"/>
  <c r="E138" i="4" s="1"/>
  <c r="E78" i="4"/>
  <c r="J31" i="4"/>
  <c r="E31" i="4" s="1"/>
  <c r="E160" i="4"/>
  <c r="E161" i="4"/>
  <c r="E89" i="4"/>
  <c r="J47" i="4"/>
  <c r="E47" i="4" s="1"/>
  <c r="J70" i="4"/>
  <c r="E70" i="4" s="1"/>
  <c r="E162" i="4"/>
  <c r="J36" i="4"/>
  <c r="E36" i="4" s="1"/>
  <c r="J146" i="4"/>
  <c r="E146" i="4" s="1"/>
  <c r="J51" i="4"/>
  <c r="E51" i="4" s="1"/>
  <c r="J147" i="4"/>
  <c r="E147" i="4" s="1"/>
  <c r="E166" i="4"/>
  <c r="J149" i="4"/>
  <c r="E149" i="4" s="1"/>
  <c r="J150" i="4"/>
  <c r="E150" i="4" s="1"/>
  <c r="J151" i="4"/>
  <c r="E151" i="4" s="1"/>
  <c r="J39" i="4"/>
  <c r="E39" i="4" s="1"/>
  <c r="J23" i="4"/>
  <c r="E23" i="4" s="1"/>
  <c r="J152" i="4"/>
  <c r="E152" i="4" s="1"/>
  <c r="J154" i="4"/>
  <c r="E154" i="4" s="1"/>
  <c r="J155" i="4"/>
  <c r="E155" i="4" s="1"/>
  <c r="J64" i="4"/>
  <c r="E64" i="4" s="1"/>
  <c r="J60" i="4"/>
  <c r="E60" i="4" s="1"/>
  <c r="E167" i="4"/>
  <c r="E168" i="4"/>
  <c r="J158" i="4"/>
  <c r="E158" i="4" s="1"/>
  <c r="J159" i="4"/>
  <c r="E159" i="4" s="1"/>
  <c r="E61" i="4"/>
  <c r="J9" i="4"/>
  <c r="E9" i="4" s="1"/>
  <c r="J33" i="4"/>
  <c r="E33" i="4" s="1"/>
  <c r="J12" i="4"/>
  <c r="E12" i="4" s="1"/>
  <c r="E170" i="4"/>
  <c r="J163" i="4"/>
  <c r="E163" i="4" s="1"/>
  <c r="J164" i="4"/>
  <c r="E164" i="4" s="1"/>
  <c r="J34" i="4"/>
  <c r="E34" i="4" s="1"/>
  <c r="E49" i="4"/>
  <c r="J77" i="4"/>
  <c r="E77" i="4" s="1"/>
  <c r="A9" i="4" l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7" i="4" s="1"/>
  <c r="A48" i="4" s="1"/>
  <c r="A51" i="4" s="1"/>
  <c r="A52" i="4" s="1"/>
  <c r="A53" i="4" s="1"/>
  <c r="A55" i="4" s="1"/>
  <c r="A59" i="4" s="1"/>
  <c r="A60" i="4" s="1"/>
  <c r="A62" i="4" s="1"/>
  <c r="A64" i="4" s="1"/>
  <c r="A65" i="4" s="1"/>
  <c r="A66" i="4" s="1"/>
  <c r="A68" i="4" s="1"/>
  <c r="A70" i="4" s="1"/>
  <c r="A71" i="4" s="1"/>
  <c r="A74" i="4" s="1"/>
  <c r="A76" i="4" s="1"/>
  <c r="A77" i="4" s="1"/>
  <c r="A79" i="4" s="1"/>
  <c r="A80" i="4" s="1"/>
  <c r="A81" i="4" s="1"/>
  <c r="A83" i="4" s="1"/>
  <c r="A84" i="4" s="1"/>
  <c r="A85" i="4" s="1"/>
  <c r="A86" i="4" s="1"/>
  <c r="A87" i="4" s="1"/>
  <c r="A88" i="4" s="1"/>
  <c r="A90" i="4" s="1"/>
  <c r="A93" i="4" s="1"/>
  <c r="A96" i="4" s="1"/>
  <c r="A97" i="4" s="1"/>
  <c r="A98" i="4" s="1"/>
  <c r="A100" i="4" s="1"/>
  <c r="A102" i="4" s="1"/>
  <c r="A105" i="4" s="1"/>
  <c r="A106" i="4" s="1"/>
  <c r="A107" i="4" s="1"/>
  <c r="A108" i="4" s="1"/>
  <c r="A109" i="4" s="1"/>
  <c r="A111" i="4" s="1"/>
  <c r="A112" i="4" s="1"/>
  <c r="A114" i="4" s="1"/>
  <c r="A115" i="4" s="1"/>
  <c r="A120" i="4" s="1"/>
  <c r="A121" i="4" s="1"/>
  <c r="A122" i="4" s="1"/>
  <c r="A123" i="4" s="1"/>
  <c r="A124" i="4" s="1"/>
  <c r="A125" i="4" s="1"/>
  <c r="A126" i="4" s="1"/>
  <c r="A127" i="4" s="1"/>
  <c r="A136" i="4" s="1"/>
  <c r="A137" i="4" s="1"/>
  <c r="A138" i="4" s="1"/>
  <c r="A141" i="4" s="1"/>
  <c r="A144" i="4" s="1"/>
  <c r="A146" i="4" s="1"/>
  <c r="A147" i="4" s="1"/>
  <c r="A149" i="4" s="1"/>
  <c r="A150" i="4" s="1"/>
  <c r="A151" i="4" s="1"/>
  <c r="A152" i="4" s="1"/>
  <c r="A153" i="4" s="1"/>
  <c r="A154" i="4" s="1"/>
  <c r="A155" i="4" s="1"/>
  <c r="A158" i="4" s="1"/>
  <c r="A159" i="4" s="1"/>
  <c r="A163" i="4" s="1"/>
  <c r="A164" i="4" s="1"/>
</calcChain>
</file>

<file path=xl/sharedStrings.xml><?xml version="1.0" encoding="utf-8"?>
<sst xmlns="http://schemas.openxmlformats.org/spreadsheetml/2006/main" count="498" uniqueCount="299">
  <si>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</si>
  <si>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</si>
  <si>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</si>
  <si>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</si>
  <si>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</si>
  <si>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</si>
  <si>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</si>
  <si>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</si>
  <si>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</si>
  <si>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</si>
  <si>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</si>
  <si>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</si>
  <si>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</si>
  <si>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</si>
  <si>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</si>
  <si>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</si>
  <si>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</si>
  <si>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</si>
  <si>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</si>
  <si>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</si>
  <si>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</si>
  <si>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</si>
  <si>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</si>
  <si>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</si>
  <si>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</si>
  <si>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</si>
  <si>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</si>
  <si>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</si>
  <si>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</si>
  <si>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</si>
  <si>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</si>
  <si>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</si>
  <si>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</si>
  <si>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</si>
  <si>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</si>
  <si>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</si>
  <si>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</si>
  <si>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</si>
  <si>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</si>
  <si>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</si>
  <si>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</si>
  <si>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</si>
  <si>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</si>
  <si>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</si>
  <si>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</si>
  <si>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</si>
  <si>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</si>
  <si>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</si>
  <si>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</si>
  <si>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</si>
  <si>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</si>
  <si>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</si>
  <si>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</si>
  <si>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</si>
  <si>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</si>
  <si>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</si>
  <si>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</si>
  <si>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</si>
  <si>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</si>
  <si>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</si>
  <si>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</si>
  <si>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</si>
  <si>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</si>
  <si>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</si>
  <si>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</si>
  <si>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</si>
  <si>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</si>
  <si>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</si>
  <si>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</si>
  <si>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</si>
  <si>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</si>
  <si>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</si>
  <si>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</si>
  <si>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</si>
  <si>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</si>
  <si>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</si>
  <si>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</si>
  <si>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</si>
  <si>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</si>
  <si>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</si>
  <si>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</si>
  <si>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</si>
  <si>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</si>
  <si>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</si>
  <si>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</si>
  <si>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</si>
  <si>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</si>
  <si>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</si>
  <si>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</si>
  <si>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</si>
  <si>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</si>
  <si>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</si>
  <si>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</si>
  <si>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</si>
  <si>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</si>
  <si>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</si>
  <si>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</si>
  <si>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</si>
  <si>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</si>
  <si>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</si>
  <si>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</si>
  <si>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</si>
  <si>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</si>
  <si>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</si>
  <si>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</si>
  <si>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</si>
  <si>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</si>
  <si>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</si>
  <si>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</si>
  <si>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</si>
  <si>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</si>
  <si>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</si>
  <si>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ВАСИЛЕНКО, Ксения</t>
  </si>
  <si>
    <t>КОТЛОВА, Тамара</t>
  </si>
  <si>
    <t>ВЕРЕСОВА (МИХАЙЛОВА), Полина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</si>
  <si>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</si>
  <si>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</si>
  <si>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</si>
  <si>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</si>
  <si>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</si>
  <si>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</si>
  <si>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</si>
  <si>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</si>
  <si>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</si>
  <si>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</si>
  <si>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</si>
  <si>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</si>
  <si>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</si>
  <si>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</si>
  <si>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</si>
  <si>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</si>
  <si>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</si>
  <si>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</si>
  <si>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</si>
  <si>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</si>
  <si>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</si>
  <si>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</si>
  <si>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</si>
  <si>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</si>
  <si>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</si>
  <si>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</si>
  <si>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</si>
  <si>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</si>
  <si>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</si>
  <si>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</si>
  <si>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</si>
  <si>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</si>
  <si>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</si>
  <si>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</si>
  <si>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</si>
  <si>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</si>
  <si>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</si>
  <si>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</si>
  <si>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</si>
  <si>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</si>
  <si>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</si>
  <si>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</si>
  <si>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</si>
  <si>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</si>
  <si>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</si>
  <si>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</si>
  <si>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</si>
  <si>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</si>
  <si>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</si>
  <si>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</si>
  <si>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</si>
  <si>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</si>
  <si>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</si>
  <si>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</si>
  <si>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</si>
  <si>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</si>
  <si>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</si>
  <si>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</si>
  <si>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</si>
  <si>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</si>
  <si>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</si>
  <si>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</si>
  <si>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</si>
  <si>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</si>
  <si>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</si>
  <si>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</si>
  <si>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</si>
  <si>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</si>
  <si>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</si>
  <si>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</si>
  <si>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</si>
  <si>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</si>
  <si>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</si>
  <si>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</si>
  <si>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</si>
  <si>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</si>
  <si>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</si>
  <si>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</si>
  <si>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</si>
  <si>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</si>
  <si>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</si>
  <si>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</si>
  <si>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</si>
  <si>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</si>
  <si>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</si>
  <si>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</si>
  <si>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</si>
  <si>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</si>
  <si>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</si>
  <si>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</si>
  <si>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</si>
  <si>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</si>
  <si>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</si>
  <si>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</si>
  <si>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</si>
  <si>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</si>
  <si>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</si>
  <si>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</si>
  <si>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</si>
  <si>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</si>
  <si>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</si>
  <si>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</si>
  <si>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</si>
  <si>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</si>
  <si>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</si>
  <si>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</si>
  <si>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</si>
  <si>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</si>
  <si>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</si>
  <si>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</si>
  <si>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</si>
  <si>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</si>
  <si>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</si>
  <si>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</si>
  <si>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</si>
  <si>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</si>
  <si>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</si>
  <si>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</si>
  <si>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</si>
  <si>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</si>
  <si>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</si>
  <si>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</si>
  <si>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</si>
  <si>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</si>
  <si>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</si>
  <si>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</si>
  <si>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</si>
  <si>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</si>
  <si>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</si>
  <si>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</si>
  <si>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</si>
  <si>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</si>
  <si>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</si>
  <si>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</si>
  <si>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</si>
  <si>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</si>
  <si>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</si>
  <si>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</si>
  <si>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</si>
  <si>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</si>
  <si>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</si>
  <si>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</si>
  <si>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</si>
  <si>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</si>
  <si>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</si>
  <si>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</si>
  <si>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</si>
  <si>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</si>
  <si>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</si>
  <si>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</si>
  <si>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</si>
  <si>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</si>
  <si>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</si>
  <si>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</si>
  <si>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</si>
  <si>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</si>
  <si>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</si>
  <si>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</si>
  <si>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</si>
  <si>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</si>
  <si>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каноэ-девушки до 17 лет</t>
  </si>
  <si>
    <t>ПЕРВЕНСТВО РОССИИ | 07-14.08.2025, г.Казань</t>
  </si>
  <si>
    <t>Первенство России                           (до 17 лет)                          07-14.07.2025 (очки)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</si>
  <si>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</si>
  <si>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</si>
  <si>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</si>
  <si>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</si>
  <si>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</si>
  <si>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</si>
  <si>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</si>
  <si>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</si>
  <si>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</si>
  <si>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</si>
  <si>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</si>
  <si>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</si>
  <si>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</si>
  <si>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</si>
  <si>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</si>
  <si>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</si>
  <si>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</si>
  <si>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</si>
  <si>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</si>
  <si>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</si>
  <si>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ПО РЕЗУЛЬТАТАМ ВЫСТУПЛЕНИЙ НА СПОРТИВНЫХ СОРЕВНОВАНИЯХ 2025 года (каноэ-девушки до 17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</si>
</sst>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right" inden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K21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7" sqref="C17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6" width="18.7109375" style="23" customWidth="1"/>
    <col min="7" max="7" width="18.7109375" style="23" hidden="1" customWidth="1"/>
    <col min="8" max="8" width="16.7109375" style="23" hidden="1" customWidth="1"/>
    <col min="9" max="9" width="17.7109375" style="23" hidden="1" customWidth="1"/>
    <col min="10" max="10" width="14.7109375" style="24" hidden="1" customWidth="1"/>
    <col min="11" max="14" width="6.7109375" style="24" hidden="1" customWidth="1"/>
    <col min="15" max="15" width="14.7109375" style="24" hidden="1" customWidth="1"/>
    <col min="16" max="17" width="13.28515625" style="24" hidden="1" customWidth="1"/>
    <col min="18" max="18" width="14.7109375" style="7" hidden="1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hidden="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hidden="1" customWidth="1"/>
    <col min="59" max="68" width="6.7109375" style="6" hidden="1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1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customWidth="1"/>
    <col min="108" max="115" width="6.7109375" style="6" customWidth="1"/>
  </cols>
  <sheetData>
    <row r="1" spans="1:115" ht="18.75" x14ac:dyDescent="0.3">
      <c r="C1" s="4" t="s">
        <v>3</v>
      </c>
    </row>
    <row r="2" spans="1:115" ht="18.75" x14ac:dyDescent="0.3">
      <c r="C2" s="4" t="s">
        <v>298</v>
      </c>
    </row>
    <row r="3" spans="1:115" ht="17.25" thickBot="1" x14ac:dyDescent="0.35"/>
    <row r="4" spans="1:115" ht="15.75" customHeight="1" thickBot="1" x14ac:dyDescent="0.35">
      <c r="A4" s="8"/>
      <c r="B4" s="9"/>
      <c r="C4" s="140" t="s">
        <v>0</v>
      </c>
      <c r="D4" s="143" t="s">
        <v>1</v>
      </c>
      <c r="E4" s="146" t="s">
        <v>2</v>
      </c>
      <c r="F4" s="148" t="s">
        <v>144</v>
      </c>
      <c r="G4" s="148" t="s">
        <v>145</v>
      </c>
      <c r="H4" s="148" t="s">
        <v>146</v>
      </c>
      <c r="I4" s="148" t="s">
        <v>147</v>
      </c>
      <c r="J4" s="156"/>
      <c r="K4" s="158"/>
      <c r="L4" s="159"/>
      <c r="M4" s="159"/>
      <c r="N4" s="160"/>
      <c r="O4" s="163"/>
      <c r="P4" s="158"/>
      <c r="Q4" s="160"/>
      <c r="R4" s="151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85"/>
      <c r="AD4" s="165"/>
      <c r="AE4" s="165"/>
      <c r="AF4" s="165"/>
      <c r="AG4" s="165"/>
      <c r="AH4" s="165"/>
      <c r="AI4" s="165"/>
      <c r="AJ4" s="165"/>
      <c r="AK4" s="165"/>
      <c r="AL4" s="165"/>
      <c r="AM4" s="182"/>
      <c r="AN4" s="180"/>
      <c r="AO4" s="174"/>
      <c r="AP4" s="174"/>
      <c r="AQ4" s="174"/>
      <c r="AR4" s="174"/>
      <c r="AS4" s="174"/>
      <c r="AT4" s="174"/>
      <c r="AU4" s="174"/>
      <c r="AV4" s="175"/>
      <c r="AW4" s="167"/>
      <c r="AX4" s="174"/>
      <c r="AY4" s="174"/>
      <c r="AZ4" s="174"/>
      <c r="BA4" s="174"/>
      <c r="BB4" s="174"/>
      <c r="BC4" s="174"/>
      <c r="BD4" s="174"/>
      <c r="BE4" s="175"/>
      <c r="BF4" s="187"/>
      <c r="BG4" s="189"/>
      <c r="BH4" s="189"/>
      <c r="BI4" s="189"/>
      <c r="BJ4" s="189"/>
      <c r="BK4" s="189"/>
      <c r="BL4" s="189"/>
      <c r="BM4" s="189"/>
      <c r="BN4" s="189"/>
      <c r="BO4" s="189"/>
      <c r="BP4" s="190"/>
      <c r="BQ4" s="187"/>
      <c r="BR4" s="195"/>
      <c r="BS4" s="195"/>
      <c r="BT4" s="195"/>
      <c r="BU4" s="195"/>
      <c r="BV4" s="195"/>
      <c r="BW4" s="195"/>
      <c r="BX4" s="195"/>
      <c r="BY4" s="196"/>
      <c r="BZ4" s="187"/>
      <c r="CA4" s="202"/>
      <c r="CB4" s="203"/>
      <c r="CC4" s="203"/>
      <c r="CD4" s="203"/>
      <c r="CE4" s="203"/>
      <c r="CF4" s="203"/>
      <c r="CG4" s="203"/>
      <c r="CH4" s="203"/>
      <c r="CI4" s="203"/>
      <c r="CJ4" s="204"/>
      <c r="CK4" s="187"/>
      <c r="CL4" s="195"/>
      <c r="CM4" s="195"/>
      <c r="CN4" s="195"/>
      <c r="CO4" s="195"/>
      <c r="CP4" s="195"/>
      <c r="CQ4" s="195"/>
      <c r="CR4" s="195"/>
      <c r="CS4" s="196"/>
      <c r="CT4" s="187"/>
      <c r="CU4" s="195"/>
      <c r="CV4" s="195"/>
      <c r="CW4" s="195"/>
      <c r="CX4" s="195"/>
      <c r="CY4" s="195"/>
      <c r="CZ4" s="195"/>
      <c r="DA4" s="195"/>
      <c r="DB4" s="196"/>
      <c r="DC4" s="187" t="s">
        <v>277</v>
      </c>
      <c r="DD4" s="195" t="s">
        <v>276</v>
      </c>
      <c r="DE4" s="195"/>
      <c r="DF4" s="195"/>
      <c r="DG4" s="195"/>
      <c r="DH4" s="195"/>
      <c r="DI4" s="195"/>
      <c r="DJ4" s="195"/>
      <c r="DK4" s="196"/>
    </row>
    <row r="5" spans="1:115" ht="17.25" thickBot="1" x14ac:dyDescent="0.35">
      <c r="A5" s="10"/>
      <c r="B5" s="11"/>
      <c r="C5" s="141"/>
      <c r="D5" s="144"/>
      <c r="E5" s="146"/>
      <c r="F5" s="149"/>
      <c r="G5" s="149"/>
      <c r="H5" s="149"/>
      <c r="I5" s="149"/>
      <c r="J5" s="157"/>
      <c r="K5" s="137"/>
      <c r="L5" s="161"/>
      <c r="M5" s="161"/>
      <c r="N5" s="162"/>
      <c r="O5" s="164"/>
      <c r="P5" s="137"/>
      <c r="Q5" s="162"/>
      <c r="R5" s="152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86"/>
      <c r="AD5" s="183"/>
      <c r="AE5" s="183"/>
      <c r="AF5" s="183"/>
      <c r="AG5" s="183"/>
      <c r="AH5" s="183"/>
      <c r="AI5" s="183"/>
      <c r="AJ5" s="183"/>
      <c r="AK5" s="183"/>
      <c r="AL5" s="183"/>
      <c r="AM5" s="184"/>
      <c r="AN5" s="181"/>
      <c r="AO5" s="176"/>
      <c r="AP5" s="176"/>
      <c r="AQ5" s="176"/>
      <c r="AR5" s="176"/>
      <c r="AS5" s="176"/>
      <c r="AT5" s="176"/>
      <c r="AU5" s="176"/>
      <c r="AV5" s="177"/>
      <c r="AW5" s="168"/>
      <c r="AX5" s="176"/>
      <c r="AY5" s="176"/>
      <c r="AZ5" s="176"/>
      <c r="BA5" s="176"/>
      <c r="BB5" s="176"/>
      <c r="BC5" s="176"/>
      <c r="BD5" s="176"/>
      <c r="BE5" s="177"/>
      <c r="BF5" s="188"/>
      <c r="BG5" s="191"/>
      <c r="BH5" s="191"/>
      <c r="BI5" s="191"/>
      <c r="BJ5" s="191"/>
      <c r="BK5" s="191"/>
      <c r="BL5" s="191"/>
      <c r="BM5" s="191"/>
      <c r="BN5" s="191"/>
      <c r="BO5" s="191"/>
      <c r="BP5" s="192"/>
      <c r="BQ5" s="188"/>
      <c r="BR5" s="197"/>
      <c r="BS5" s="197"/>
      <c r="BT5" s="197"/>
      <c r="BU5" s="197"/>
      <c r="BV5" s="197"/>
      <c r="BW5" s="197"/>
      <c r="BX5" s="197"/>
      <c r="BY5" s="198"/>
      <c r="BZ5" s="188"/>
      <c r="CA5" s="145"/>
      <c r="CB5" s="205"/>
      <c r="CC5" s="205"/>
      <c r="CD5" s="205"/>
      <c r="CE5" s="205"/>
      <c r="CF5" s="205"/>
      <c r="CG5" s="205"/>
      <c r="CH5" s="205"/>
      <c r="CI5" s="205"/>
      <c r="CJ5" s="206"/>
      <c r="CK5" s="188"/>
      <c r="CL5" s="197"/>
      <c r="CM5" s="197"/>
      <c r="CN5" s="197"/>
      <c r="CO5" s="197"/>
      <c r="CP5" s="197"/>
      <c r="CQ5" s="197"/>
      <c r="CR5" s="197"/>
      <c r="CS5" s="198"/>
      <c r="CT5" s="188"/>
      <c r="CU5" s="197"/>
      <c r="CV5" s="197"/>
      <c r="CW5" s="197"/>
      <c r="CX5" s="197"/>
      <c r="CY5" s="197"/>
      <c r="CZ5" s="197"/>
      <c r="DA5" s="197"/>
      <c r="DB5" s="198"/>
      <c r="DC5" s="188"/>
      <c r="DD5" s="197"/>
      <c r="DE5" s="197"/>
      <c r="DF5" s="197"/>
      <c r="DG5" s="197"/>
      <c r="DH5" s="197"/>
      <c r="DI5" s="197"/>
      <c r="DJ5" s="197"/>
      <c r="DK5" s="198"/>
    </row>
    <row r="6" spans="1:115" ht="15.75" customHeight="1" thickBot="1" x14ac:dyDescent="0.35">
      <c r="A6" s="10"/>
      <c r="B6" s="11"/>
      <c r="C6" s="141"/>
      <c r="D6" s="144"/>
      <c r="E6" s="146"/>
      <c r="F6" s="149"/>
      <c r="G6" s="149"/>
      <c r="H6" s="149"/>
      <c r="I6" s="149"/>
      <c r="J6" s="157"/>
      <c r="K6" s="137"/>
      <c r="L6" s="161"/>
      <c r="M6" s="161"/>
      <c r="N6" s="162"/>
      <c r="O6" s="164"/>
      <c r="P6" s="137"/>
      <c r="Q6" s="162"/>
      <c r="R6" s="152"/>
      <c r="S6" s="137"/>
      <c r="T6" s="161"/>
      <c r="U6" s="161"/>
      <c r="V6" s="161"/>
      <c r="W6" s="161"/>
      <c r="X6" s="161"/>
      <c r="Y6" s="161"/>
      <c r="Z6" s="161"/>
      <c r="AA6" s="161"/>
      <c r="AB6" s="136"/>
      <c r="AC6" s="186"/>
      <c r="AD6" s="136"/>
      <c r="AE6" s="172"/>
      <c r="AF6" s="172"/>
      <c r="AG6" s="172"/>
      <c r="AH6" s="172"/>
      <c r="AI6" s="172"/>
      <c r="AJ6" s="172"/>
      <c r="AK6" s="172"/>
      <c r="AL6" s="172"/>
      <c r="AM6" s="173"/>
      <c r="AN6" s="181"/>
      <c r="AO6" s="178"/>
      <c r="AP6" s="178"/>
      <c r="AQ6" s="178"/>
      <c r="AR6" s="178"/>
      <c r="AS6" s="178"/>
      <c r="AT6" s="178"/>
      <c r="AU6" s="178"/>
      <c r="AV6" s="179"/>
      <c r="AW6" s="168"/>
      <c r="AX6" s="178"/>
      <c r="AY6" s="178"/>
      <c r="AZ6" s="178"/>
      <c r="BA6" s="178"/>
      <c r="BB6" s="178"/>
      <c r="BC6" s="178"/>
      <c r="BD6" s="178"/>
      <c r="BE6" s="179"/>
      <c r="BF6" s="188"/>
      <c r="BG6" s="193"/>
      <c r="BH6" s="193"/>
      <c r="BI6" s="193"/>
      <c r="BJ6" s="193"/>
      <c r="BK6" s="193"/>
      <c r="BL6" s="193"/>
      <c r="BM6" s="193"/>
      <c r="BN6" s="193"/>
      <c r="BO6" s="193"/>
      <c r="BP6" s="194"/>
      <c r="BQ6" s="188"/>
      <c r="BR6" s="193"/>
      <c r="BS6" s="193"/>
      <c r="BT6" s="193"/>
      <c r="BU6" s="193"/>
      <c r="BV6" s="193"/>
      <c r="BW6" s="193"/>
      <c r="BX6" s="193"/>
      <c r="BY6" s="194"/>
      <c r="BZ6" s="188"/>
      <c r="CA6" s="207"/>
      <c r="CB6" s="208"/>
      <c r="CC6" s="208"/>
      <c r="CD6" s="208"/>
      <c r="CE6" s="208"/>
      <c r="CF6" s="208"/>
      <c r="CG6" s="208"/>
      <c r="CH6" s="208"/>
      <c r="CI6" s="208"/>
      <c r="CJ6" s="209"/>
      <c r="CK6" s="188"/>
      <c r="CL6" s="193"/>
      <c r="CM6" s="193"/>
      <c r="CN6" s="193"/>
      <c r="CO6" s="193"/>
      <c r="CP6" s="193"/>
      <c r="CQ6" s="193"/>
      <c r="CR6" s="193"/>
      <c r="CS6" s="194"/>
      <c r="CT6" s="188"/>
      <c r="CU6" s="193"/>
      <c r="CV6" s="193"/>
      <c r="CW6" s="193"/>
      <c r="CX6" s="193"/>
      <c r="CY6" s="193"/>
      <c r="CZ6" s="193"/>
      <c r="DA6" s="193"/>
      <c r="DB6" s="194"/>
      <c r="DC6" s="188"/>
      <c r="DD6" s="193" t="s">
        <v>275</v>
      </c>
      <c r="DE6" s="193"/>
      <c r="DF6" s="193"/>
      <c r="DG6" s="193"/>
      <c r="DH6" s="193"/>
      <c r="DI6" s="193"/>
      <c r="DJ6" s="193"/>
      <c r="DK6" s="194"/>
    </row>
    <row r="7" spans="1:115" s="114" customFormat="1" ht="15.75" customHeight="1" thickBot="1" x14ac:dyDescent="0.35">
      <c r="A7" s="112"/>
      <c r="B7" s="113"/>
      <c r="C7" s="141"/>
      <c r="D7" s="144"/>
      <c r="E7" s="146"/>
      <c r="F7" s="149"/>
      <c r="G7" s="149"/>
      <c r="H7" s="149"/>
      <c r="I7" s="149"/>
      <c r="J7" s="157"/>
      <c r="K7" s="135"/>
      <c r="L7" s="169"/>
      <c r="M7" s="170"/>
      <c r="N7" s="171"/>
      <c r="O7" s="164"/>
      <c r="P7" s="172"/>
      <c r="Q7" s="173"/>
      <c r="R7" s="153"/>
      <c r="S7" s="133"/>
      <c r="T7" s="135"/>
      <c r="U7" s="136"/>
      <c r="V7" s="137"/>
      <c r="W7" s="138"/>
      <c r="X7" s="139"/>
      <c r="Y7" s="133"/>
      <c r="Z7" s="135"/>
      <c r="AA7" s="155"/>
      <c r="AB7" s="155"/>
      <c r="AC7" s="186"/>
      <c r="AD7" s="133"/>
      <c r="AE7" s="135"/>
      <c r="AF7" s="138"/>
      <c r="AG7" s="139"/>
      <c r="AH7" s="138"/>
      <c r="AI7" s="139"/>
      <c r="AJ7" s="133"/>
      <c r="AK7" s="135"/>
      <c r="AL7" s="136"/>
      <c r="AM7" s="173"/>
      <c r="AN7" s="181"/>
      <c r="AO7" s="133"/>
      <c r="AP7" s="135"/>
      <c r="AQ7" s="136"/>
      <c r="AR7" s="137"/>
      <c r="AS7" s="138"/>
      <c r="AT7" s="139"/>
      <c r="AU7" s="133"/>
      <c r="AV7" s="134"/>
      <c r="AW7" s="168"/>
      <c r="AX7" s="133"/>
      <c r="AY7" s="135"/>
      <c r="AZ7" s="136"/>
      <c r="BA7" s="137"/>
      <c r="BB7" s="138"/>
      <c r="BC7" s="139"/>
      <c r="BD7" s="133"/>
      <c r="BE7" s="134"/>
      <c r="BF7" s="188"/>
      <c r="BG7" s="133"/>
      <c r="BH7" s="135"/>
      <c r="BI7" s="138"/>
      <c r="BJ7" s="139"/>
      <c r="BK7" s="138"/>
      <c r="BL7" s="139"/>
      <c r="BM7" s="138"/>
      <c r="BN7" s="139"/>
      <c r="BO7" s="133"/>
      <c r="BP7" s="134"/>
      <c r="BQ7" s="188"/>
      <c r="BR7" s="133"/>
      <c r="BS7" s="135"/>
      <c r="BT7" s="138"/>
      <c r="BU7" s="139"/>
      <c r="BV7" s="138"/>
      <c r="BW7" s="139"/>
      <c r="BX7" s="133"/>
      <c r="BY7" s="134"/>
      <c r="BZ7" s="188"/>
      <c r="CA7" s="200"/>
      <c r="CB7" s="201"/>
      <c r="CC7" s="138"/>
      <c r="CD7" s="139"/>
      <c r="CE7" s="138"/>
      <c r="CF7" s="139"/>
      <c r="CG7" s="133"/>
      <c r="CH7" s="135"/>
      <c r="CI7" s="138"/>
      <c r="CJ7" s="199"/>
      <c r="CK7" s="188"/>
      <c r="CL7" s="138"/>
      <c r="CM7" s="139"/>
      <c r="CN7" s="138"/>
      <c r="CO7" s="139"/>
      <c r="CP7" s="133"/>
      <c r="CQ7" s="135"/>
      <c r="CR7" s="138"/>
      <c r="CS7" s="199"/>
      <c r="CT7" s="188"/>
      <c r="CU7" s="133"/>
      <c r="CV7" s="135"/>
      <c r="CW7" s="138"/>
      <c r="CX7" s="139"/>
      <c r="CY7" s="138"/>
      <c r="CZ7" s="139"/>
      <c r="DA7" s="133"/>
      <c r="DB7" s="134"/>
      <c r="DC7" s="188"/>
      <c r="DD7" s="133" t="s">
        <v>109</v>
      </c>
      <c r="DE7" s="135"/>
      <c r="DF7" s="138" t="s">
        <v>108</v>
      </c>
      <c r="DG7" s="139"/>
      <c r="DH7" s="138" t="s">
        <v>111</v>
      </c>
      <c r="DI7" s="139"/>
      <c r="DJ7" s="133" t="s">
        <v>107</v>
      </c>
      <c r="DK7" s="134"/>
    </row>
    <row r="8" spans="1:115" x14ac:dyDescent="0.3">
      <c r="A8" s="12"/>
      <c r="B8" s="13"/>
      <c r="C8" s="142"/>
      <c r="D8" s="145"/>
      <c r="E8" s="147"/>
      <c r="F8" s="150"/>
      <c r="G8" s="150"/>
      <c r="H8" s="150"/>
      <c r="I8" s="150"/>
      <c r="J8" s="157"/>
      <c r="K8" s="27"/>
      <c r="L8" s="28"/>
      <c r="M8" s="28"/>
      <c r="N8" s="29"/>
      <c r="O8" s="164"/>
      <c r="P8" s="27"/>
      <c r="Q8" s="30"/>
      <c r="R8" s="154"/>
      <c r="S8" s="28"/>
      <c r="T8" s="28"/>
      <c r="U8" s="27"/>
      <c r="V8" s="28"/>
      <c r="W8" s="28"/>
      <c r="X8" s="28"/>
      <c r="Y8" s="28"/>
      <c r="Z8" s="28"/>
      <c r="AA8" s="28"/>
      <c r="AB8" s="26"/>
      <c r="AC8" s="186"/>
      <c r="AD8" s="28"/>
      <c r="AE8" s="28"/>
      <c r="AF8" s="28"/>
      <c r="AG8" s="28"/>
      <c r="AH8" s="28"/>
      <c r="AI8" s="28"/>
      <c r="AJ8" s="28"/>
      <c r="AK8" s="28"/>
      <c r="AL8" s="28"/>
      <c r="AM8" s="29"/>
      <c r="AN8" s="181"/>
      <c r="AO8" s="28"/>
      <c r="AP8" s="28"/>
      <c r="AQ8" s="28"/>
      <c r="AR8" s="28"/>
      <c r="AS8" s="28"/>
      <c r="AT8" s="28"/>
      <c r="AU8" s="28"/>
      <c r="AV8" s="29"/>
      <c r="AW8" s="168"/>
      <c r="AX8" s="28"/>
      <c r="AY8" s="28"/>
      <c r="AZ8" s="28"/>
      <c r="BA8" s="28"/>
      <c r="BB8" s="28"/>
      <c r="BC8" s="28"/>
      <c r="BD8" s="28"/>
      <c r="BE8" s="29"/>
      <c r="BF8" s="188"/>
      <c r="BG8" s="93"/>
      <c r="BH8" s="93"/>
      <c r="BI8" s="93"/>
      <c r="BJ8" s="93"/>
      <c r="BK8" s="93"/>
      <c r="BL8" s="93"/>
      <c r="BM8" s="93"/>
      <c r="BN8" s="93"/>
      <c r="BO8" s="93"/>
      <c r="BP8" s="94"/>
      <c r="BQ8" s="188"/>
      <c r="BR8" s="95"/>
      <c r="BS8" s="95"/>
      <c r="BT8" s="95"/>
      <c r="BU8" s="95"/>
      <c r="BV8" s="93"/>
      <c r="BW8" s="93"/>
      <c r="BX8" s="93"/>
      <c r="BY8" s="94"/>
      <c r="BZ8" s="188"/>
      <c r="CA8" s="93"/>
      <c r="CB8" s="93"/>
      <c r="CC8" s="93"/>
      <c r="CD8" s="93"/>
      <c r="CE8" s="93"/>
      <c r="CF8" s="93"/>
      <c r="CG8" s="93"/>
      <c r="CH8" s="93"/>
      <c r="CI8" s="93"/>
      <c r="CJ8" s="94"/>
      <c r="CK8" s="188"/>
      <c r="CL8" s="93"/>
      <c r="CM8" s="93"/>
      <c r="CN8" s="93"/>
      <c r="CO8" s="93"/>
      <c r="CP8" s="93"/>
      <c r="CQ8" s="93"/>
      <c r="CR8" s="93"/>
      <c r="CS8" s="94"/>
      <c r="CT8" s="188"/>
      <c r="CU8" s="93"/>
      <c r="CV8" s="93"/>
      <c r="CW8" s="93"/>
      <c r="CX8" s="93"/>
      <c r="CY8" s="93"/>
      <c r="CZ8" s="93"/>
      <c r="DA8" s="93"/>
      <c r="DB8" s="94"/>
      <c r="DC8" s="188"/>
      <c r="DD8" s="115" t="s">
        <v>105</v>
      </c>
      <c r="DE8" s="115" t="s">
        <v>106</v>
      </c>
      <c r="DF8" s="118" t="s">
        <v>105</v>
      </c>
      <c r="DG8" s="115" t="s">
        <v>106</v>
      </c>
      <c r="DH8" s="118" t="s">
        <v>105</v>
      </c>
      <c r="DI8" s="115" t="s">
        <v>106</v>
      </c>
      <c r="DJ8" s="115" t="s">
        <v>105</v>
      </c>
      <c r="DK8" s="116" t="s">
        <v>106</v>
      </c>
    </row>
    <row r="9" spans="1:115" s="1" customFormat="1" ht="15" hidden="1" customHeight="1" x14ac:dyDescent="0.3">
      <c r="A9" s="2">
        <f t="shared" ref="A9:A40" si="0">A8+1</f>
        <v>1</v>
      </c>
      <c r="B9" s="14">
        <v>4525</v>
      </c>
      <c r="C9" s="5" t="s">
        <v>14</v>
      </c>
      <c r="D9" s="15">
        <v>2005</v>
      </c>
      <c r="E9" s="16">
        <f>J9+O9+R9+AC9+AN9+AW9+BF9+BQ9+BZ9+CK9+CT9+DC9</f>
        <v>1399.1</v>
      </c>
      <c r="F9" s="37" t="s">
        <v>170</v>
      </c>
      <c r="G9" s="37"/>
      <c r="H9" s="37" t="s">
        <v>177</v>
      </c>
      <c r="I9" s="37"/>
      <c r="J9" s="38">
        <f t="shared" ref="J9:J16" si="1">L9+N9</f>
        <v>0</v>
      </c>
      <c r="K9" s="39"/>
      <c r="L9" s="40"/>
      <c r="M9" s="41"/>
      <c r="N9" s="42"/>
      <c r="O9" s="38">
        <f t="shared" ref="O9:O16" si="2">Q9</f>
        <v>0</v>
      </c>
      <c r="P9" s="39"/>
      <c r="Q9" s="42"/>
      <c r="R9" s="43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82">
        <f t="shared" ref="AC9:AC16" si="3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>
        <f t="shared" ref="AW9:AW16" si="4">AY9+BA9+BC9+BE9</f>
        <v>0</v>
      </c>
      <c r="AX9" s="41"/>
      <c r="AY9" s="40"/>
      <c r="AZ9" s="41"/>
      <c r="BA9" s="40"/>
      <c r="BB9" s="41"/>
      <c r="BC9" s="40"/>
      <c r="BD9" s="41"/>
      <c r="BE9" s="42"/>
      <c r="BF9" s="43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43">
        <f t="shared" ref="BZ9:BZ16" si="5">CB9+CD9+CF9+CH9+CJ9</f>
        <v>324</v>
      </c>
      <c r="CA9" s="110">
        <v>3</v>
      </c>
      <c r="CB9" s="111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>
        <f t="shared" ref="CK9:CK16" si="6">CM9+CO9+CQ9+CS9</f>
        <v>0</v>
      </c>
      <c r="CL9" s="41"/>
      <c r="CM9" s="40"/>
      <c r="CN9" s="41"/>
      <c r="CO9" s="40"/>
      <c r="CP9" s="41"/>
      <c r="CQ9" s="40"/>
      <c r="CR9" s="41"/>
      <c r="CS9" s="42"/>
      <c r="CT9" s="43">
        <f t="shared" ref="CT9:CT16" si="7">CV9+CX9+CZ9+DB9</f>
        <v>0</v>
      </c>
      <c r="CU9" s="41"/>
      <c r="CV9" s="40"/>
      <c r="CW9" s="40"/>
      <c r="CX9" s="40"/>
      <c r="CY9" s="40"/>
      <c r="CZ9" s="40"/>
      <c r="DA9" s="41"/>
      <c r="DB9" s="42"/>
      <c r="DC9" s="43">
        <f>DE9+DG9+DI9+DK9</f>
        <v>0</v>
      </c>
      <c r="DD9" s="41"/>
      <c r="DE9" s="40"/>
      <c r="DF9" s="40"/>
      <c r="DG9" s="40"/>
      <c r="DH9" s="40"/>
      <c r="DI9" s="40"/>
      <c r="DJ9" s="41"/>
      <c r="DK9" s="42"/>
    </row>
    <row r="10" spans="1:115" s="1" customFormat="1" ht="15" hidden="1" customHeight="1" x14ac:dyDescent="0.3">
      <c r="A10" s="2">
        <f t="shared" si="0"/>
        <v>2</v>
      </c>
      <c r="B10" s="14">
        <v>4864</v>
      </c>
      <c r="C10" s="5" t="s">
        <v>35</v>
      </c>
      <c r="D10" s="15">
        <v>2003</v>
      </c>
      <c r="E10" s="16">
        <f t="shared" ref="E10:E16" si="8">J10+O10+R10+AC10+AN10+AW10+BF10+BQ10+BZ10+CK10+CT10+DC10</f>
        <v>711.5</v>
      </c>
      <c r="F10" s="37" t="s">
        <v>174</v>
      </c>
      <c r="G10" s="37"/>
      <c r="H10" s="37" t="s">
        <v>175</v>
      </c>
      <c r="I10" s="37" t="s">
        <v>202</v>
      </c>
      <c r="J10" s="38">
        <f t="shared" si="1"/>
        <v>0</v>
      </c>
      <c r="K10" s="39"/>
      <c r="L10" s="40"/>
      <c r="M10" s="41"/>
      <c r="N10" s="42"/>
      <c r="O10" s="38">
        <f t="shared" si="2"/>
        <v>0</v>
      </c>
      <c r="P10" s="39"/>
      <c r="Q10" s="42"/>
      <c r="R10" s="43">
        <f>T10+X10+Z10+AB10</f>
        <v>108</v>
      </c>
      <c r="S10" s="44"/>
      <c r="T10" s="45"/>
      <c r="U10" s="31">
        <v>7</v>
      </c>
      <c r="V10" s="32">
        <f>25*0.9</f>
        <v>22.5</v>
      </c>
      <c r="W10" s="44">
        <v>4</v>
      </c>
      <c r="X10" s="45">
        <f>30*0.9</f>
        <v>27</v>
      </c>
      <c r="Y10" s="74">
        <v>2</v>
      </c>
      <c r="Z10" s="75">
        <f>60*0.9*1.5</f>
        <v>81</v>
      </c>
      <c r="AA10" s="44"/>
      <c r="AB10" s="78"/>
      <c r="AC10" s="82">
        <f t="shared" si="3"/>
        <v>0</v>
      </c>
      <c r="AD10" s="44"/>
      <c r="AE10" s="45"/>
      <c r="AF10" s="44"/>
      <c r="AG10" s="45"/>
      <c r="AH10" s="44"/>
      <c r="AI10" s="45"/>
      <c r="AJ10" s="44"/>
      <c r="AK10" s="45"/>
      <c r="AL10" s="44"/>
      <c r="AM10" s="46"/>
      <c r="AN10" s="79">
        <f>AP10+AR10+AV10</f>
        <v>208</v>
      </c>
      <c r="AO10" s="86">
        <v>4</v>
      </c>
      <c r="AP10" s="87">
        <f>40*0.8*1.5</f>
        <v>48</v>
      </c>
      <c r="AQ10" s="41">
        <v>2</v>
      </c>
      <c r="AR10" s="40">
        <f>80*0.8</f>
        <v>64</v>
      </c>
      <c r="AS10" s="35">
        <v>2</v>
      </c>
      <c r="AT10" s="34">
        <f>60*0.8</f>
        <v>48</v>
      </c>
      <c r="AU10" s="86">
        <v>1</v>
      </c>
      <c r="AV10" s="88">
        <f>80*0.8*1.5</f>
        <v>96</v>
      </c>
      <c r="AW10" s="43">
        <f t="shared" si="4"/>
        <v>0</v>
      </c>
      <c r="AX10" s="41"/>
      <c r="AY10" s="40"/>
      <c r="AZ10" s="41"/>
      <c r="BA10" s="40"/>
      <c r="BB10" s="41"/>
      <c r="BC10" s="40"/>
      <c r="BD10" s="41"/>
      <c r="BE10" s="42"/>
      <c r="BF10" s="43">
        <f>BH10+BJ10+BL10+BN10+BP10</f>
        <v>112.5</v>
      </c>
      <c r="BG10" s="86">
        <v>9</v>
      </c>
      <c r="BH10" s="87">
        <f>10*1.5</f>
        <v>15</v>
      </c>
      <c r="BI10" s="41"/>
      <c r="BJ10" s="40"/>
      <c r="BK10" s="41"/>
      <c r="BL10" s="40"/>
      <c r="BM10" s="41">
        <v>4</v>
      </c>
      <c r="BN10" s="40">
        <f>30</f>
        <v>30</v>
      </c>
      <c r="BO10" s="86">
        <v>3</v>
      </c>
      <c r="BP10" s="88">
        <f>45*1.5</f>
        <v>67.5</v>
      </c>
      <c r="BQ10" s="43">
        <f>BS10+BU10+BW10+BY10</f>
        <v>256</v>
      </c>
      <c r="BR10" s="86">
        <v>2</v>
      </c>
      <c r="BS10" s="87">
        <f>80*0.8*1.5</f>
        <v>96</v>
      </c>
      <c r="BT10" s="41"/>
      <c r="BU10" s="40"/>
      <c r="BV10" s="41">
        <v>1</v>
      </c>
      <c r="BW10" s="40">
        <f>80*0.8</f>
        <v>64</v>
      </c>
      <c r="BX10" s="86">
        <v>1</v>
      </c>
      <c r="BY10" s="88">
        <f>80*0.8*1.5</f>
        <v>96</v>
      </c>
      <c r="BZ10" s="43">
        <f t="shared" si="5"/>
        <v>27</v>
      </c>
      <c r="CA10" s="106"/>
      <c r="CB10" s="102"/>
      <c r="CC10" s="41"/>
      <c r="CD10" s="40"/>
      <c r="CE10" s="41"/>
      <c r="CF10" s="40"/>
      <c r="CG10" s="41"/>
      <c r="CH10" s="40"/>
      <c r="CI10" s="41">
        <v>6</v>
      </c>
      <c r="CJ10" s="42">
        <f>15*1.8</f>
        <v>27</v>
      </c>
      <c r="CK10" s="43">
        <f t="shared" si="6"/>
        <v>0</v>
      </c>
      <c r="CL10" s="41"/>
      <c r="CM10" s="40"/>
      <c r="CN10" s="41"/>
      <c r="CO10" s="40"/>
      <c r="CP10" s="41"/>
      <c r="CQ10" s="40"/>
      <c r="CR10" s="41"/>
      <c r="CS10" s="42"/>
      <c r="CT10" s="43">
        <f t="shared" si="7"/>
        <v>0</v>
      </c>
      <c r="CU10" s="41"/>
      <c r="CV10" s="40"/>
      <c r="CW10" s="40"/>
      <c r="CX10" s="40"/>
      <c r="CY10" s="40"/>
      <c r="CZ10" s="40"/>
      <c r="DA10" s="41"/>
      <c r="DB10" s="42"/>
      <c r="DC10" s="43">
        <f t="shared" ref="DC10:DC16" si="9">DE10+DG10+DI10+DK10</f>
        <v>0</v>
      </c>
      <c r="DD10" s="41"/>
      <c r="DE10" s="40"/>
      <c r="DF10" s="40"/>
      <c r="DG10" s="40"/>
      <c r="DH10" s="40"/>
      <c r="DI10" s="40"/>
      <c r="DJ10" s="41"/>
      <c r="DK10" s="42"/>
    </row>
    <row r="11" spans="1:115" s="1" customFormat="1" ht="15" hidden="1" customHeight="1" x14ac:dyDescent="0.3">
      <c r="A11" s="2">
        <f t="shared" si="0"/>
        <v>3</v>
      </c>
      <c r="B11" s="14">
        <v>3676</v>
      </c>
      <c r="C11" s="5" t="s">
        <v>20</v>
      </c>
      <c r="D11" s="15">
        <v>2002</v>
      </c>
      <c r="E11" s="16">
        <f t="shared" si="8"/>
        <v>694.1</v>
      </c>
      <c r="F11" s="37" t="s">
        <v>179</v>
      </c>
      <c r="G11" s="37"/>
      <c r="H11" s="37" t="s">
        <v>180</v>
      </c>
      <c r="I11" s="37" t="s">
        <v>176</v>
      </c>
      <c r="J11" s="38">
        <f t="shared" si="1"/>
        <v>0</v>
      </c>
      <c r="K11" s="39"/>
      <c r="L11" s="40"/>
      <c r="M11" s="41"/>
      <c r="N11" s="42"/>
      <c r="O11" s="38">
        <f t="shared" si="2"/>
        <v>0</v>
      </c>
      <c r="P11" s="39"/>
      <c r="Q11" s="42"/>
      <c r="R11" s="43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44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82">
        <f t="shared" si="3"/>
        <v>138.6</v>
      </c>
      <c r="AD11" s="44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79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>
        <f t="shared" si="4"/>
        <v>0</v>
      </c>
      <c r="AX11" s="41"/>
      <c r="AY11" s="40"/>
      <c r="AZ11" s="41"/>
      <c r="BA11" s="40"/>
      <c r="BB11" s="41"/>
      <c r="BC11" s="40"/>
      <c r="BD11" s="41"/>
      <c r="BE11" s="42"/>
      <c r="BF11" s="43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43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43">
        <f t="shared" si="5"/>
        <v>162</v>
      </c>
      <c r="CA11" s="106"/>
      <c r="CB11" s="102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>
        <f t="shared" si="6"/>
        <v>0</v>
      </c>
      <c r="CL11" s="41"/>
      <c r="CM11" s="40"/>
      <c r="CN11" s="41"/>
      <c r="CO11" s="40"/>
      <c r="CP11" s="41"/>
      <c r="CQ11" s="40"/>
      <c r="CR11" s="41"/>
      <c r="CS11" s="42"/>
      <c r="CT11" s="43">
        <f t="shared" si="7"/>
        <v>0</v>
      </c>
      <c r="CU11" s="41"/>
      <c r="CV11" s="40"/>
      <c r="CW11" s="40"/>
      <c r="CX11" s="40"/>
      <c r="CY11" s="40"/>
      <c r="CZ11" s="40"/>
      <c r="DA11" s="41"/>
      <c r="DB11" s="42"/>
      <c r="DC11" s="43">
        <f t="shared" si="9"/>
        <v>0</v>
      </c>
      <c r="DD11" s="41"/>
      <c r="DE11" s="40"/>
      <c r="DF11" s="40"/>
      <c r="DG11" s="40"/>
      <c r="DH11" s="40"/>
      <c r="DI11" s="40"/>
      <c r="DJ11" s="41"/>
      <c r="DK11" s="42"/>
    </row>
    <row r="12" spans="1:115" s="1" customFormat="1" ht="15" hidden="1" customHeight="1" x14ac:dyDescent="0.3">
      <c r="A12" s="2">
        <f t="shared" si="0"/>
        <v>4</v>
      </c>
      <c r="B12" s="14">
        <v>4154</v>
      </c>
      <c r="C12" s="5" t="s">
        <v>16</v>
      </c>
      <c r="D12" s="15">
        <v>2003</v>
      </c>
      <c r="E12" s="16">
        <f t="shared" si="8"/>
        <v>602.79999999999995</v>
      </c>
      <c r="F12" s="37" t="s">
        <v>174</v>
      </c>
      <c r="G12" s="37" t="s">
        <v>157</v>
      </c>
      <c r="H12" s="37" t="s">
        <v>175</v>
      </c>
      <c r="I12" s="37" t="s">
        <v>182</v>
      </c>
      <c r="J12" s="38">
        <f t="shared" si="1"/>
        <v>0</v>
      </c>
      <c r="K12" s="39"/>
      <c r="L12" s="40"/>
      <c r="M12" s="41"/>
      <c r="N12" s="42"/>
      <c r="O12" s="38">
        <f t="shared" si="2"/>
        <v>0</v>
      </c>
      <c r="P12" s="39"/>
      <c r="Q12" s="42"/>
      <c r="R12" s="43">
        <f>T12+X12+Z12+AB12</f>
        <v>118.8</v>
      </c>
      <c r="S12" s="74">
        <v>4</v>
      </c>
      <c r="T12" s="75">
        <f>40*0.9*1.5</f>
        <v>54</v>
      </c>
      <c r="U12" s="31">
        <v>6</v>
      </c>
      <c r="V12" s="32">
        <f>30*0.9</f>
        <v>27</v>
      </c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3"/>
        <v>36</v>
      </c>
      <c r="AD12" s="44"/>
      <c r="AE12" s="45"/>
      <c r="AF12" s="44"/>
      <c r="AG12" s="45"/>
      <c r="AH12" s="44"/>
      <c r="AI12" s="45"/>
      <c r="AJ12" s="44"/>
      <c r="AK12" s="45"/>
      <c r="AL12" s="44">
        <v>4</v>
      </c>
      <c r="AM12" s="46">
        <f>20*1.8</f>
        <v>36</v>
      </c>
      <c r="AN12" s="79">
        <f>AP12+AR12+AT12+AV12</f>
        <v>0</v>
      </c>
      <c r="AO12" s="41"/>
      <c r="AP12" s="40"/>
      <c r="AQ12" s="41"/>
      <c r="AR12" s="40"/>
      <c r="AS12" s="41"/>
      <c r="AT12" s="40"/>
      <c r="AU12" s="41"/>
      <c r="AV12" s="42"/>
      <c r="AW12" s="43">
        <f t="shared" si="4"/>
        <v>0</v>
      </c>
      <c r="AX12" s="41"/>
      <c r="AY12" s="40"/>
      <c r="AZ12" s="41"/>
      <c r="BA12" s="40"/>
      <c r="BB12" s="41"/>
      <c r="BC12" s="40"/>
      <c r="BD12" s="41"/>
      <c r="BE12" s="42"/>
      <c r="BF12" s="43">
        <f>BH12+BL12+BN12+BP12</f>
        <v>240</v>
      </c>
      <c r="BG12" s="86">
        <v>3</v>
      </c>
      <c r="BH12" s="87">
        <f>60*1.5</f>
        <v>90</v>
      </c>
      <c r="BI12" s="35">
        <v>3</v>
      </c>
      <c r="BJ12" s="34">
        <f>60</f>
        <v>60</v>
      </c>
      <c r="BK12" s="41"/>
      <c r="BL12" s="40"/>
      <c r="BM12" s="41">
        <v>2</v>
      </c>
      <c r="BN12" s="40">
        <f>60</f>
        <v>60</v>
      </c>
      <c r="BO12" s="86">
        <v>2</v>
      </c>
      <c r="BP12" s="88">
        <f>60*1.5</f>
        <v>90</v>
      </c>
      <c r="BQ12" s="43">
        <f>BS12+BU12+BW12+BY12</f>
        <v>208</v>
      </c>
      <c r="BR12" s="86">
        <v>4</v>
      </c>
      <c r="BS12" s="87">
        <f>40*0.8*1.5</f>
        <v>48</v>
      </c>
      <c r="BT12" s="41"/>
      <c r="BU12" s="40"/>
      <c r="BV12" s="41">
        <v>1</v>
      </c>
      <c r="BW12" s="40">
        <f>80*0.8</f>
        <v>64</v>
      </c>
      <c r="BX12" s="86">
        <v>1</v>
      </c>
      <c r="BY12" s="88">
        <f>80*0.8*1.5</f>
        <v>96</v>
      </c>
      <c r="BZ12" s="43">
        <f t="shared" si="5"/>
        <v>0</v>
      </c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>
        <f t="shared" si="6"/>
        <v>0</v>
      </c>
      <c r="CL12" s="41"/>
      <c r="CM12" s="40"/>
      <c r="CN12" s="41"/>
      <c r="CO12" s="40"/>
      <c r="CP12" s="41"/>
      <c r="CQ12" s="40"/>
      <c r="CR12" s="41"/>
      <c r="CS12" s="42"/>
      <c r="CT12" s="43">
        <f t="shared" si="7"/>
        <v>0</v>
      </c>
      <c r="CU12" s="41"/>
      <c r="CV12" s="40"/>
      <c r="CW12" s="40"/>
      <c r="CX12" s="40"/>
      <c r="CY12" s="40"/>
      <c r="CZ12" s="40"/>
      <c r="DA12" s="41"/>
      <c r="DB12" s="42"/>
      <c r="DC12" s="43">
        <f t="shared" si="9"/>
        <v>0</v>
      </c>
      <c r="DD12" s="41"/>
      <c r="DE12" s="40"/>
      <c r="DF12" s="40"/>
      <c r="DG12" s="40"/>
      <c r="DH12" s="40"/>
      <c r="DI12" s="40"/>
      <c r="DJ12" s="41"/>
      <c r="DK12" s="42"/>
    </row>
    <row r="13" spans="1:115" s="1" customFormat="1" ht="15" hidden="1" customHeight="1" x14ac:dyDescent="0.3">
      <c r="A13" s="2">
        <f t="shared" si="0"/>
        <v>5</v>
      </c>
      <c r="B13" s="14">
        <v>3980</v>
      </c>
      <c r="C13" s="5" t="s">
        <v>19</v>
      </c>
      <c r="D13" s="15">
        <v>2004</v>
      </c>
      <c r="E13" s="16">
        <f t="shared" si="8"/>
        <v>574</v>
      </c>
      <c r="F13" s="37" t="s">
        <v>153</v>
      </c>
      <c r="G13" s="37"/>
      <c r="H13" s="37" t="s">
        <v>199</v>
      </c>
      <c r="I13" s="37" t="s">
        <v>200</v>
      </c>
      <c r="J13" s="38">
        <f t="shared" si="1"/>
        <v>0</v>
      </c>
      <c r="K13" s="39"/>
      <c r="L13" s="40"/>
      <c r="M13" s="41"/>
      <c r="N13" s="42"/>
      <c r="O13" s="38">
        <f t="shared" si="2"/>
        <v>0</v>
      </c>
      <c r="P13" s="39"/>
      <c r="Q13" s="42"/>
      <c r="R13" s="43">
        <f>T13+V13+X13+Z13+AB13</f>
        <v>145.80000000000001</v>
      </c>
      <c r="S13" s="77">
        <v>3</v>
      </c>
      <c r="T13" s="76">
        <f>60*0.9*1.5</f>
        <v>81</v>
      </c>
      <c r="U13" s="44"/>
      <c r="V13" s="45"/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82">
        <f t="shared" si="3"/>
        <v>0</v>
      </c>
      <c r="AD13" s="44"/>
      <c r="AE13" s="45"/>
      <c r="AF13" s="44"/>
      <c r="AG13" s="45"/>
      <c r="AH13" s="44"/>
      <c r="AI13" s="45"/>
      <c r="AJ13" s="44"/>
      <c r="AK13" s="45"/>
      <c r="AL13" s="44"/>
      <c r="AM13" s="46"/>
      <c r="AN13" s="79">
        <f>AP13+AR13+AV13</f>
        <v>256</v>
      </c>
      <c r="AO13" s="86">
        <v>1</v>
      </c>
      <c r="AP13" s="87">
        <f>110*0.8*1.5</f>
        <v>132</v>
      </c>
      <c r="AQ13" s="41">
        <v>1</v>
      </c>
      <c r="AR13" s="40">
        <f>110*0.8</f>
        <v>88</v>
      </c>
      <c r="AS13" s="35">
        <v>3</v>
      </c>
      <c r="AT13" s="34">
        <f>45*0.8</f>
        <v>36</v>
      </c>
      <c r="AU13" s="86">
        <v>4</v>
      </c>
      <c r="AV13" s="88">
        <f>30*0.8*1.5</f>
        <v>36</v>
      </c>
      <c r="AW13" s="43">
        <f t="shared" si="4"/>
        <v>0</v>
      </c>
      <c r="AX13" s="41"/>
      <c r="AY13" s="40"/>
      <c r="AZ13" s="41"/>
      <c r="BA13" s="40"/>
      <c r="BB13" s="41"/>
      <c r="BC13" s="40"/>
      <c r="BD13" s="41"/>
      <c r="BE13" s="42"/>
      <c r="BF13" s="43">
        <f>BH13+BJ13+BL13+BN13+BP13</f>
        <v>45</v>
      </c>
      <c r="BG13" s="86">
        <v>6</v>
      </c>
      <c r="BH13" s="87">
        <f>30*1.5</f>
        <v>45</v>
      </c>
      <c r="BI13" s="41"/>
      <c r="BJ13" s="40"/>
      <c r="BK13" s="41"/>
      <c r="BL13" s="40"/>
      <c r="BM13" s="41"/>
      <c r="BN13" s="40"/>
      <c r="BO13" s="41"/>
      <c r="BP13" s="42"/>
      <c r="BQ13" s="43">
        <f>BS13+BW13+BY13</f>
        <v>127.2</v>
      </c>
      <c r="BR13" s="86">
        <v>3</v>
      </c>
      <c r="BS13" s="87">
        <f>60*0.8*1.5</f>
        <v>72</v>
      </c>
      <c r="BT13" s="35">
        <v>8</v>
      </c>
      <c r="BU13" s="34">
        <f>20*0.8</f>
        <v>16</v>
      </c>
      <c r="BV13" s="41">
        <v>4</v>
      </c>
      <c r="BW13" s="40">
        <f>30*0.8</f>
        <v>24</v>
      </c>
      <c r="BX13" s="86">
        <v>5</v>
      </c>
      <c r="BY13" s="88">
        <f>26*0.8*1.5</f>
        <v>31.200000000000003</v>
      </c>
      <c r="BZ13" s="43">
        <f t="shared" si="5"/>
        <v>0</v>
      </c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>
        <f t="shared" si="6"/>
        <v>0</v>
      </c>
      <c r="CL13" s="41"/>
      <c r="CM13" s="40"/>
      <c r="CN13" s="41"/>
      <c r="CO13" s="40"/>
      <c r="CP13" s="41"/>
      <c r="CQ13" s="40"/>
      <c r="CR13" s="41"/>
      <c r="CS13" s="42"/>
      <c r="CT13" s="43">
        <f t="shared" si="7"/>
        <v>0</v>
      </c>
      <c r="CU13" s="41"/>
      <c r="CV13" s="40"/>
      <c r="CW13" s="40"/>
      <c r="CX13" s="40"/>
      <c r="CY13" s="40"/>
      <c r="CZ13" s="40"/>
      <c r="DA13" s="41"/>
      <c r="DB13" s="42"/>
      <c r="DC13" s="43">
        <f t="shared" si="9"/>
        <v>0</v>
      </c>
      <c r="DD13" s="41"/>
      <c r="DE13" s="40"/>
      <c r="DF13" s="40"/>
      <c r="DG13" s="40"/>
      <c r="DH13" s="40"/>
      <c r="DI13" s="40"/>
      <c r="DJ13" s="41"/>
      <c r="DK13" s="42"/>
    </row>
    <row r="14" spans="1:115" s="1" customFormat="1" ht="15" hidden="1" customHeight="1" x14ac:dyDescent="0.3">
      <c r="A14" s="2">
        <f t="shared" si="0"/>
        <v>6</v>
      </c>
      <c r="B14" s="14">
        <v>4668</v>
      </c>
      <c r="C14" s="5" t="s">
        <v>6</v>
      </c>
      <c r="D14" s="15">
        <v>2004</v>
      </c>
      <c r="E14" s="16">
        <f t="shared" si="8"/>
        <v>532.9</v>
      </c>
      <c r="F14" s="37" t="s">
        <v>151</v>
      </c>
      <c r="G14" s="37"/>
      <c r="H14" s="37" t="s">
        <v>152</v>
      </c>
      <c r="I14" s="37" t="s">
        <v>193</v>
      </c>
      <c r="J14" s="38">
        <f t="shared" si="1"/>
        <v>0</v>
      </c>
      <c r="K14" s="39"/>
      <c r="L14" s="40"/>
      <c r="M14" s="41"/>
      <c r="N14" s="42"/>
      <c r="O14" s="38">
        <f t="shared" si="2"/>
        <v>42</v>
      </c>
      <c r="P14" s="39">
        <v>3</v>
      </c>
      <c r="Q14" s="42">
        <f>60*0.7</f>
        <v>42</v>
      </c>
      <c r="R14" s="43">
        <f>T14+V14+X14+Z14+AB14</f>
        <v>108</v>
      </c>
      <c r="S14" s="44"/>
      <c r="T14" s="45"/>
      <c r="U14" s="44"/>
      <c r="V14" s="45"/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3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AP14+AT14+AV14</f>
        <v>174</v>
      </c>
      <c r="AO14" s="86">
        <v>7</v>
      </c>
      <c r="AP14" s="87">
        <f>25*0.8*1.5</f>
        <v>30</v>
      </c>
      <c r="AQ14" s="35">
        <v>8</v>
      </c>
      <c r="AR14" s="34">
        <f>20*0.8</f>
        <v>16</v>
      </c>
      <c r="AS14" s="41">
        <v>2</v>
      </c>
      <c r="AT14" s="40">
        <f>60*0.8</f>
        <v>48</v>
      </c>
      <c r="AU14" s="86">
        <v>1</v>
      </c>
      <c r="AV14" s="88">
        <f>80*0.8*1.5</f>
        <v>96</v>
      </c>
      <c r="AW14" s="43">
        <f t="shared" si="4"/>
        <v>0</v>
      </c>
      <c r="AX14" s="41"/>
      <c r="AY14" s="40"/>
      <c r="AZ14" s="41"/>
      <c r="BA14" s="40"/>
      <c r="BB14" s="41"/>
      <c r="BC14" s="40"/>
      <c r="BD14" s="41"/>
      <c r="BE14" s="42"/>
      <c r="BF14" s="43">
        <f>BH14+BL14+BN14+BP14</f>
        <v>97.5</v>
      </c>
      <c r="BG14" s="41"/>
      <c r="BH14" s="40"/>
      <c r="BI14" s="35">
        <v>9</v>
      </c>
      <c r="BJ14" s="34">
        <f>10</f>
        <v>10</v>
      </c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>BS14+BU14+BY14</f>
        <v>84.4</v>
      </c>
      <c r="BR14" s="86">
        <v>7</v>
      </c>
      <c r="BS14" s="87">
        <f>25*0.8*1.5</f>
        <v>30</v>
      </c>
      <c r="BT14" s="41">
        <v>5</v>
      </c>
      <c r="BU14" s="40">
        <f>35*0.8</f>
        <v>28</v>
      </c>
      <c r="BV14" s="35">
        <v>5</v>
      </c>
      <c r="BW14" s="34">
        <f>26*0.8</f>
        <v>20.8</v>
      </c>
      <c r="BX14" s="86">
        <v>6</v>
      </c>
      <c r="BY14" s="88">
        <f>22*0.8*1.5</f>
        <v>26.400000000000002</v>
      </c>
      <c r="BZ14" s="43">
        <f t="shared" si="5"/>
        <v>27</v>
      </c>
      <c r="CA14" s="106"/>
      <c r="CB14" s="102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>
        <f t="shared" si="6"/>
        <v>0</v>
      </c>
      <c r="CL14" s="41"/>
      <c r="CM14" s="40"/>
      <c r="CN14" s="41"/>
      <c r="CO14" s="40"/>
      <c r="CP14" s="41"/>
      <c r="CQ14" s="40"/>
      <c r="CR14" s="41"/>
      <c r="CS14" s="42"/>
      <c r="CT14" s="43">
        <f t="shared" si="7"/>
        <v>0</v>
      </c>
      <c r="CU14" s="41"/>
      <c r="CV14" s="40"/>
      <c r="CW14" s="40"/>
      <c r="CX14" s="40"/>
      <c r="CY14" s="40"/>
      <c r="CZ14" s="40"/>
      <c r="DA14" s="41"/>
      <c r="DB14" s="42"/>
      <c r="DC14" s="43">
        <f t="shared" si="9"/>
        <v>0</v>
      </c>
      <c r="DD14" s="41"/>
      <c r="DE14" s="40"/>
      <c r="DF14" s="40"/>
      <c r="DG14" s="40"/>
      <c r="DH14" s="40"/>
      <c r="DI14" s="40"/>
      <c r="DJ14" s="41"/>
      <c r="DK14" s="42"/>
    </row>
    <row r="15" spans="1:115" s="1" customFormat="1" ht="15" hidden="1" customHeight="1" x14ac:dyDescent="0.3">
      <c r="A15" s="2">
        <f t="shared" si="0"/>
        <v>7</v>
      </c>
      <c r="B15" s="14">
        <v>6100</v>
      </c>
      <c r="C15" s="5" t="s">
        <v>21</v>
      </c>
      <c r="D15" s="15">
        <v>2006</v>
      </c>
      <c r="E15" s="16">
        <f t="shared" si="8"/>
        <v>520.5</v>
      </c>
      <c r="F15" s="37" t="s">
        <v>174</v>
      </c>
      <c r="G15" s="37"/>
      <c r="H15" s="37" t="s">
        <v>175</v>
      </c>
      <c r="I15" s="37"/>
      <c r="J15" s="38">
        <f t="shared" si="1"/>
        <v>0</v>
      </c>
      <c r="K15" s="39"/>
      <c r="L15" s="40"/>
      <c r="M15" s="41"/>
      <c r="N15" s="42"/>
      <c r="O15" s="38">
        <f t="shared" si="2"/>
        <v>0</v>
      </c>
      <c r="P15" s="39"/>
      <c r="Q15" s="42"/>
      <c r="R15" s="43">
        <f>T15+X15+Z15+AB15</f>
        <v>126</v>
      </c>
      <c r="S15" s="74">
        <v>8</v>
      </c>
      <c r="T15" s="75">
        <f>20*0.9*1.5</f>
        <v>27</v>
      </c>
      <c r="U15" s="31">
        <v>2</v>
      </c>
      <c r="V15" s="32">
        <f>80*0.9</f>
        <v>72</v>
      </c>
      <c r="W15" s="44"/>
      <c r="X15" s="45"/>
      <c r="Y15" s="44"/>
      <c r="Z15" s="45"/>
      <c r="AA15" s="44">
        <v>1</v>
      </c>
      <c r="AB15" s="78">
        <f>110*0.9</f>
        <v>99</v>
      </c>
      <c r="AC15" s="82">
        <f t="shared" si="3"/>
        <v>72</v>
      </c>
      <c r="AD15" s="44"/>
      <c r="AE15" s="45"/>
      <c r="AF15" s="44">
        <v>8</v>
      </c>
      <c r="AG15" s="45">
        <f>20*1.8</f>
        <v>36</v>
      </c>
      <c r="AH15" s="44"/>
      <c r="AI15" s="45"/>
      <c r="AJ15" s="44"/>
      <c r="AK15" s="45"/>
      <c r="AL15" s="44">
        <v>4</v>
      </c>
      <c r="AM15" s="46">
        <f>20*1.8</f>
        <v>36</v>
      </c>
      <c r="AN15" s="79">
        <f>AP15+AR15+AT15+AV15</f>
        <v>0</v>
      </c>
      <c r="AO15" s="41"/>
      <c r="AP15" s="40"/>
      <c r="AQ15" s="41"/>
      <c r="AR15" s="40"/>
      <c r="AS15" s="41"/>
      <c r="AT15" s="40"/>
      <c r="AU15" s="41"/>
      <c r="AV15" s="42"/>
      <c r="AW15" s="43">
        <f t="shared" si="4"/>
        <v>0</v>
      </c>
      <c r="AX15" s="41"/>
      <c r="AY15" s="40"/>
      <c r="AZ15" s="41"/>
      <c r="BA15" s="40"/>
      <c r="BB15" s="41"/>
      <c r="BC15" s="40"/>
      <c r="BD15" s="41"/>
      <c r="BE15" s="42"/>
      <c r="BF15" s="43">
        <f>BH15+BJ15+BN15+BP15</f>
        <v>162.5</v>
      </c>
      <c r="BG15" s="86">
        <v>5</v>
      </c>
      <c r="BH15" s="87">
        <f>35*1.5</f>
        <v>52.5</v>
      </c>
      <c r="BI15" s="41">
        <v>1</v>
      </c>
      <c r="BJ15" s="40">
        <f>110</f>
        <v>110</v>
      </c>
      <c r="BK15" s="35">
        <v>1</v>
      </c>
      <c r="BL15" s="34">
        <f>110</f>
        <v>110</v>
      </c>
      <c r="BM15" s="41"/>
      <c r="BN15" s="40"/>
      <c r="BO15" s="41"/>
      <c r="BP15" s="42"/>
      <c r="BQ15" s="43">
        <f t="shared" ref="BQ15:BQ16" si="10">BS15+BU15+BW15+BY15</f>
        <v>88</v>
      </c>
      <c r="BR15" s="41"/>
      <c r="BS15" s="40"/>
      <c r="BT15" s="41">
        <v>1</v>
      </c>
      <c r="BU15" s="40">
        <f>110*0.8</f>
        <v>88</v>
      </c>
      <c r="BV15" s="41"/>
      <c r="BW15" s="40"/>
      <c r="BX15" s="41"/>
      <c r="BY15" s="42"/>
      <c r="BZ15" s="43">
        <f t="shared" si="5"/>
        <v>72</v>
      </c>
      <c r="CA15" s="106"/>
      <c r="CB15" s="102"/>
      <c r="CC15" s="41">
        <v>4</v>
      </c>
      <c r="CD15" s="40">
        <f>40*1.8</f>
        <v>72</v>
      </c>
      <c r="CE15" s="41"/>
      <c r="CF15" s="40"/>
      <c r="CG15" s="41"/>
      <c r="CH15" s="40"/>
      <c r="CI15" s="41"/>
      <c r="CJ15" s="42"/>
      <c r="CK15" s="43">
        <f t="shared" si="6"/>
        <v>0</v>
      </c>
      <c r="CL15" s="41"/>
      <c r="CM15" s="40"/>
      <c r="CN15" s="41"/>
      <c r="CO15" s="40"/>
      <c r="CP15" s="41"/>
      <c r="CQ15" s="40"/>
      <c r="CR15" s="41"/>
      <c r="CS15" s="42"/>
      <c r="CT15" s="43">
        <f t="shared" si="7"/>
        <v>0</v>
      </c>
      <c r="CU15" s="41"/>
      <c r="CV15" s="40"/>
      <c r="CW15" s="40"/>
      <c r="CX15" s="40"/>
      <c r="CY15" s="40"/>
      <c r="CZ15" s="40"/>
      <c r="DA15" s="41"/>
      <c r="DB15" s="42"/>
      <c r="DC15" s="43">
        <f t="shared" si="9"/>
        <v>0</v>
      </c>
      <c r="DD15" s="41"/>
      <c r="DE15" s="40"/>
      <c r="DF15" s="40"/>
      <c r="DG15" s="40"/>
      <c r="DH15" s="40"/>
      <c r="DI15" s="40"/>
      <c r="DJ15" s="41"/>
      <c r="DK15" s="42"/>
    </row>
    <row r="16" spans="1:115" s="1" customFormat="1" ht="15" hidden="1" customHeight="1" x14ac:dyDescent="0.3">
      <c r="A16" s="2">
        <f t="shared" si="0"/>
        <v>8</v>
      </c>
      <c r="B16" s="14">
        <v>5064</v>
      </c>
      <c r="C16" s="5" t="s">
        <v>39</v>
      </c>
      <c r="D16" s="15">
        <v>2004</v>
      </c>
      <c r="E16" s="16">
        <f t="shared" si="8"/>
        <v>491.85</v>
      </c>
      <c r="F16" s="37" t="s">
        <v>168</v>
      </c>
      <c r="G16" s="37"/>
      <c r="H16" s="37" t="s">
        <v>169</v>
      </c>
      <c r="I16" s="37" t="s">
        <v>194</v>
      </c>
      <c r="J16" s="38">
        <f t="shared" si="1"/>
        <v>0</v>
      </c>
      <c r="K16" s="39"/>
      <c r="L16" s="40"/>
      <c r="M16" s="41"/>
      <c r="N16" s="42"/>
      <c r="O16" s="38">
        <f t="shared" si="2"/>
        <v>28</v>
      </c>
      <c r="P16" s="39">
        <v>4</v>
      </c>
      <c r="Q16" s="42">
        <f>40*0.7</f>
        <v>28</v>
      </c>
      <c r="R16" s="43">
        <f>T16+X16+Z16+AB16</f>
        <v>82.35</v>
      </c>
      <c r="S16" s="96">
        <v>5</v>
      </c>
      <c r="T16" s="45">
        <f>35*0.9*1.5</f>
        <v>47.25</v>
      </c>
      <c r="U16" s="31">
        <v>8</v>
      </c>
      <c r="V16" s="32">
        <f>20*0.9</f>
        <v>18</v>
      </c>
      <c r="W16" s="96"/>
      <c r="X16" s="45"/>
      <c r="Y16" s="74">
        <v>5</v>
      </c>
      <c r="Z16" s="75">
        <f>26*0.9*1.5</f>
        <v>35.1</v>
      </c>
      <c r="AA16" s="96"/>
      <c r="AB16" s="78"/>
      <c r="AC16" s="82">
        <f t="shared" si="3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>
        <f>AP16+AT16+AV16</f>
        <v>144</v>
      </c>
      <c r="AO16" s="86">
        <v>3</v>
      </c>
      <c r="AP16" s="87">
        <f>60*0.8*1.5</f>
        <v>72</v>
      </c>
      <c r="AQ16" s="35">
        <v>9</v>
      </c>
      <c r="AR16" s="34">
        <f>10*0.8</f>
        <v>8</v>
      </c>
      <c r="AS16" s="41">
        <v>3</v>
      </c>
      <c r="AT16" s="40">
        <f>45*0.8</f>
        <v>36</v>
      </c>
      <c r="AU16" s="86">
        <v>4</v>
      </c>
      <c r="AV16" s="88">
        <f>30*0.8*1.5</f>
        <v>36</v>
      </c>
      <c r="AW16" s="43">
        <f t="shared" si="4"/>
        <v>0</v>
      </c>
      <c r="AX16" s="41"/>
      <c r="AY16" s="40"/>
      <c r="AZ16" s="41"/>
      <c r="BA16" s="40"/>
      <c r="BB16" s="41"/>
      <c r="BC16" s="40"/>
      <c r="BD16" s="41"/>
      <c r="BE16" s="42"/>
      <c r="BF16" s="43">
        <f t="shared" ref="BF16" si="11">BH16+BJ16+BL16+BN16+BP16</f>
        <v>57.5</v>
      </c>
      <c r="BG16" s="86">
        <v>7</v>
      </c>
      <c r="BH16" s="87">
        <f>25*1.5</f>
        <v>37.5</v>
      </c>
      <c r="BI16" s="41">
        <v>8</v>
      </c>
      <c r="BJ16" s="40">
        <f>20</f>
        <v>20</v>
      </c>
      <c r="BK16" s="41"/>
      <c r="BL16" s="40"/>
      <c r="BM16" s="41"/>
      <c r="BN16" s="40"/>
      <c r="BO16" s="41"/>
      <c r="BP16" s="42"/>
      <c r="BQ16" s="43">
        <f t="shared" si="10"/>
        <v>180</v>
      </c>
      <c r="BR16" s="86">
        <v>1</v>
      </c>
      <c r="BS16" s="87">
        <f>110*0.8*1.5</f>
        <v>132</v>
      </c>
      <c r="BT16" s="41">
        <v>3</v>
      </c>
      <c r="BU16" s="40">
        <f>60*0.8</f>
        <v>48</v>
      </c>
      <c r="BV16" s="41"/>
      <c r="BW16" s="40"/>
      <c r="BX16" s="41"/>
      <c r="BY16" s="42"/>
      <c r="BZ16" s="43">
        <f t="shared" si="5"/>
        <v>0</v>
      </c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>
        <f t="shared" si="6"/>
        <v>0</v>
      </c>
      <c r="CL16" s="41"/>
      <c r="CM16" s="40"/>
      <c r="CN16" s="41"/>
      <c r="CO16" s="40"/>
      <c r="CP16" s="41"/>
      <c r="CQ16" s="40"/>
      <c r="CR16" s="41"/>
      <c r="CS16" s="42"/>
      <c r="CT16" s="43">
        <f t="shared" si="7"/>
        <v>0</v>
      </c>
      <c r="CU16" s="41"/>
      <c r="CV16" s="40"/>
      <c r="CW16" s="40"/>
      <c r="CX16" s="40"/>
      <c r="CY16" s="40"/>
      <c r="CZ16" s="40"/>
      <c r="DA16" s="41"/>
      <c r="DB16" s="42"/>
      <c r="DC16" s="43">
        <f t="shared" si="9"/>
        <v>0</v>
      </c>
      <c r="DD16" s="41"/>
      <c r="DE16" s="40"/>
      <c r="DF16" s="40"/>
      <c r="DG16" s="40"/>
      <c r="DH16" s="40"/>
      <c r="DI16" s="40"/>
      <c r="DJ16" s="41"/>
      <c r="DK16" s="42"/>
    </row>
    <row r="17" spans="1:115" s="1" customFormat="1" ht="15" customHeight="1" x14ac:dyDescent="0.3">
      <c r="A17" s="126">
        <v>1</v>
      </c>
      <c r="B17" s="127">
        <v>7324</v>
      </c>
      <c r="C17" s="128" t="s">
        <v>88</v>
      </c>
      <c r="D17" s="129">
        <v>2009</v>
      </c>
      <c r="E17" s="130">
        <f t="shared" ref="E17:E48" si="12">J17+O17+R17+AC17+AN17+AW17+BF17+BQ17+BZ17+CK17+CT17+DC17</f>
        <v>137</v>
      </c>
      <c r="F17" s="131" t="s">
        <v>168</v>
      </c>
      <c r="G17" s="37"/>
      <c r="H17" s="37" t="s">
        <v>214</v>
      </c>
      <c r="I17" s="37"/>
      <c r="J17" s="38"/>
      <c r="K17" s="39"/>
      <c r="L17" s="40"/>
      <c r="M17" s="41"/>
      <c r="N17" s="42"/>
      <c r="O17" s="38"/>
      <c r="P17" s="39"/>
      <c r="Q17" s="42"/>
      <c r="R17" s="43"/>
      <c r="S17" s="44"/>
      <c r="T17" s="45"/>
      <c r="U17" s="44"/>
      <c r="V17" s="45"/>
      <c r="W17" s="44"/>
      <c r="X17" s="45"/>
      <c r="Y17" s="119"/>
      <c r="Z17" s="45"/>
      <c r="AA17" s="44"/>
      <c r="AB17" s="78"/>
      <c r="AC17" s="82"/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/>
      <c r="AO17" s="41"/>
      <c r="AP17" s="40"/>
      <c r="AQ17" s="41"/>
      <c r="AR17" s="40"/>
      <c r="AS17" s="41"/>
      <c r="AT17" s="40"/>
      <c r="AU17" s="41"/>
      <c r="AV17" s="42"/>
      <c r="AW17" s="43"/>
      <c r="AX17" s="86"/>
      <c r="AY17" s="87"/>
      <c r="AZ17" s="41"/>
      <c r="BA17" s="40"/>
      <c r="BB17" s="41"/>
      <c r="BC17" s="40"/>
      <c r="BD17" s="41"/>
      <c r="BE17" s="42"/>
      <c r="BF17" s="43"/>
      <c r="BG17" s="41"/>
      <c r="BH17" s="40"/>
      <c r="BI17" s="41"/>
      <c r="BJ17" s="40"/>
      <c r="BK17" s="41"/>
      <c r="BL17" s="40"/>
      <c r="BM17" s="41"/>
      <c r="BN17" s="40"/>
      <c r="BO17" s="41"/>
      <c r="BP17" s="42"/>
      <c r="BQ17" s="43"/>
      <c r="BR17" s="41"/>
      <c r="BS17" s="40"/>
      <c r="BT17" s="41"/>
      <c r="BU17" s="40"/>
      <c r="BV17" s="41"/>
      <c r="BW17" s="40"/>
      <c r="BX17" s="41"/>
      <c r="BY17" s="42"/>
      <c r="BZ17" s="43"/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/>
      <c r="CL17" s="41"/>
      <c r="CM17" s="40"/>
      <c r="CN17" s="41"/>
      <c r="CO17" s="40"/>
      <c r="CP17" s="41"/>
      <c r="CQ17" s="40"/>
      <c r="CR17" s="41"/>
      <c r="CS17" s="42"/>
      <c r="CT17" s="43"/>
      <c r="CU17" s="41"/>
      <c r="CV17" s="40"/>
      <c r="CW17" s="40"/>
      <c r="CX17" s="40"/>
      <c r="CY17" s="40"/>
      <c r="CZ17" s="40"/>
      <c r="DA17" s="41"/>
      <c r="DB17" s="42"/>
      <c r="DC17" s="132">
        <f t="shared" ref="DC17:DC48" si="13">DE17+DG17+DI17+DK17</f>
        <v>137</v>
      </c>
      <c r="DD17" s="86">
        <v>1</v>
      </c>
      <c r="DE17" s="87">
        <f>110*0.4*1.5</f>
        <v>66</v>
      </c>
      <c r="DF17" s="41">
        <v>1</v>
      </c>
      <c r="DG17" s="40">
        <f>110*0.4</f>
        <v>44</v>
      </c>
      <c r="DH17" s="41"/>
      <c r="DI17" s="40"/>
      <c r="DJ17" s="86">
        <v>3</v>
      </c>
      <c r="DK17" s="88">
        <f>45*0.4*1.5</f>
        <v>27</v>
      </c>
    </row>
    <row r="18" spans="1:115" s="1" customFormat="1" ht="15" hidden="1" customHeight="1" x14ac:dyDescent="0.3">
      <c r="A18" s="2">
        <f t="shared" si="0"/>
        <v>2</v>
      </c>
      <c r="B18" s="14">
        <v>5936</v>
      </c>
      <c r="C18" s="5" t="s">
        <v>201</v>
      </c>
      <c r="D18" s="15">
        <v>2006</v>
      </c>
      <c r="E18" s="16">
        <f t="shared" si="12"/>
        <v>464.95</v>
      </c>
      <c r="F18" s="37" t="s">
        <v>157</v>
      </c>
      <c r="G18" s="37"/>
      <c r="H18" s="37" t="s">
        <v>182</v>
      </c>
      <c r="I18" s="37"/>
      <c r="J18" s="38">
        <f>L18+N18</f>
        <v>0</v>
      </c>
      <c r="K18" s="39"/>
      <c r="L18" s="40"/>
      <c r="M18" s="41"/>
      <c r="N18" s="42"/>
      <c r="O18" s="38">
        <f t="shared" ref="O18:O41" si="14">Q18</f>
        <v>0</v>
      </c>
      <c r="P18" s="39"/>
      <c r="Q18" s="42"/>
      <c r="R18" s="43">
        <f>T18+V18+X18+Z18+AB18</f>
        <v>114.75</v>
      </c>
      <c r="S18" s="74">
        <v>6</v>
      </c>
      <c r="T18" s="75">
        <f>30*0.9*1.5</f>
        <v>40.5</v>
      </c>
      <c r="U18" s="44"/>
      <c r="V18" s="45"/>
      <c r="W18" s="44">
        <v>2</v>
      </c>
      <c r="X18" s="45">
        <f>60*0.9</f>
        <v>54</v>
      </c>
      <c r="Y18" s="74">
        <v>8</v>
      </c>
      <c r="Z18" s="75">
        <f>15*0.9*1.5</f>
        <v>20.25</v>
      </c>
      <c r="AA18" s="44"/>
      <c r="AB18" s="78"/>
      <c r="AC18" s="82">
        <f t="shared" ref="AC18:AC41" si="15">AE18+AG18+AI18+AK18+AM18</f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>
        <f>AP18+AT18+AV18</f>
        <v>191.2</v>
      </c>
      <c r="AO18" s="86">
        <v>2</v>
      </c>
      <c r="AP18" s="87">
        <f>80*0.8*1.5</f>
        <v>96</v>
      </c>
      <c r="AQ18" s="35">
        <v>6</v>
      </c>
      <c r="AR18" s="34">
        <f>30*0.8</f>
        <v>24</v>
      </c>
      <c r="AS18" s="41">
        <v>1</v>
      </c>
      <c r="AT18" s="40">
        <f>80*0.8</f>
        <v>64</v>
      </c>
      <c r="AU18" s="86">
        <v>5</v>
      </c>
      <c r="AV18" s="88">
        <f>26*0.8*1.5</f>
        <v>31.200000000000003</v>
      </c>
      <c r="AW18" s="43">
        <f>AY18+BA18+BC18+BE18</f>
        <v>0</v>
      </c>
      <c r="AX18" s="41"/>
      <c r="AY18" s="40"/>
      <c r="AZ18" s="41"/>
      <c r="BA18" s="40"/>
      <c r="BB18" s="41"/>
      <c r="BC18" s="40"/>
      <c r="BD18" s="41"/>
      <c r="BE18" s="42"/>
      <c r="BF18" s="43">
        <f>BH18+BJ18+BL18+BN18+BP18</f>
        <v>90</v>
      </c>
      <c r="BG18" s="41"/>
      <c r="BH18" s="40"/>
      <c r="BI18" s="41"/>
      <c r="BJ18" s="40"/>
      <c r="BK18" s="41"/>
      <c r="BL18" s="40"/>
      <c r="BM18" s="41">
        <v>3</v>
      </c>
      <c r="BN18" s="40">
        <f>45</f>
        <v>45</v>
      </c>
      <c r="BO18" s="86">
        <v>4</v>
      </c>
      <c r="BP18" s="88">
        <f>30*1.5</f>
        <v>45</v>
      </c>
      <c r="BQ18" s="43">
        <f>BS18+BU18+BW18+BY18</f>
        <v>42</v>
      </c>
      <c r="BR18" s="86">
        <v>5</v>
      </c>
      <c r="BS18" s="87">
        <f>35*0.8*1.5</f>
        <v>42</v>
      </c>
      <c r="BT18" s="41"/>
      <c r="BU18" s="40"/>
      <c r="BV18" s="41"/>
      <c r="BW18" s="40"/>
      <c r="BX18" s="41"/>
      <c r="BY18" s="42"/>
      <c r="BZ18" s="43">
        <f t="shared" ref="BZ18:BZ41" si="16">CB18+CD18+CF18+CH18+CJ18</f>
        <v>27</v>
      </c>
      <c r="CA18" s="106"/>
      <c r="CB18" s="102"/>
      <c r="CC18" s="41"/>
      <c r="CD18" s="40"/>
      <c r="CE18" s="41"/>
      <c r="CF18" s="40"/>
      <c r="CG18" s="41"/>
      <c r="CH18" s="40"/>
      <c r="CI18" s="41">
        <v>6</v>
      </c>
      <c r="CJ18" s="42">
        <f>15*1.8</f>
        <v>27</v>
      </c>
      <c r="CK18" s="43">
        <f t="shared" ref="CK18:CK41" si="17">CM18+CO18+CQ18+CS18</f>
        <v>0</v>
      </c>
      <c r="CL18" s="41"/>
      <c r="CM18" s="40"/>
      <c r="CN18" s="41"/>
      <c r="CO18" s="40"/>
      <c r="CP18" s="41"/>
      <c r="CQ18" s="40"/>
      <c r="CR18" s="41"/>
      <c r="CS18" s="42"/>
      <c r="CT18" s="43">
        <f t="shared" ref="CT18:CT41" si="18">CV18+CX18+CZ18+DB18</f>
        <v>0</v>
      </c>
      <c r="CU18" s="41"/>
      <c r="CV18" s="40"/>
      <c r="CW18" s="40"/>
      <c r="CX18" s="40"/>
      <c r="CY18" s="40"/>
      <c r="CZ18" s="40"/>
      <c r="DA18" s="41"/>
      <c r="DB18" s="42"/>
      <c r="DC18" s="43">
        <f t="shared" si="13"/>
        <v>0</v>
      </c>
      <c r="DD18" s="41"/>
      <c r="DE18" s="40"/>
      <c r="DF18" s="40"/>
      <c r="DG18" s="40"/>
      <c r="DH18" s="40"/>
      <c r="DI18" s="40"/>
      <c r="DJ18" s="41"/>
      <c r="DK18" s="42"/>
    </row>
    <row r="19" spans="1:115" s="1" customFormat="1" ht="15" hidden="1" customHeight="1" x14ac:dyDescent="0.3">
      <c r="A19" s="2">
        <f t="shared" si="0"/>
        <v>3</v>
      </c>
      <c r="B19" s="14">
        <v>6670</v>
      </c>
      <c r="C19" s="5" t="s">
        <v>50</v>
      </c>
      <c r="D19" s="15">
        <v>2008</v>
      </c>
      <c r="E19" s="16">
        <f t="shared" si="12"/>
        <v>464.5</v>
      </c>
      <c r="F19" s="37" t="s">
        <v>157</v>
      </c>
      <c r="G19" s="37"/>
      <c r="H19" s="37" t="s">
        <v>182</v>
      </c>
      <c r="I19" s="37"/>
      <c r="J19" s="38">
        <f>L19</f>
        <v>44</v>
      </c>
      <c r="K19" s="39">
        <v>1</v>
      </c>
      <c r="L19" s="40">
        <f>110*0.4</f>
        <v>44</v>
      </c>
      <c r="M19" s="35">
        <v>2</v>
      </c>
      <c r="N19" s="36">
        <f>80*0.4</f>
        <v>32</v>
      </c>
      <c r="O19" s="38">
        <f t="shared" si="14"/>
        <v>0</v>
      </c>
      <c r="P19" s="39"/>
      <c r="Q19" s="42"/>
      <c r="R19" s="43">
        <f>T19+V19+X19+Z19+AB19</f>
        <v>0</v>
      </c>
      <c r="S19" s="44"/>
      <c r="T19" s="45"/>
      <c r="U19" s="44"/>
      <c r="V19" s="45"/>
      <c r="W19" s="44"/>
      <c r="X19" s="45"/>
      <c r="Y19" s="44"/>
      <c r="Z19" s="45"/>
      <c r="AA19" s="44"/>
      <c r="AB19" s="78"/>
      <c r="AC19" s="82">
        <f t="shared" si="15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>
        <f t="shared" ref="AN19:AN24" si="19">AP19+AR19+AT19+AV19</f>
        <v>0</v>
      </c>
      <c r="AO19" s="41"/>
      <c r="AP19" s="40"/>
      <c r="AQ19" s="41"/>
      <c r="AR19" s="40"/>
      <c r="AS19" s="41"/>
      <c r="AT19" s="40"/>
      <c r="AU19" s="41"/>
      <c r="AV19" s="42"/>
      <c r="AW19" s="43">
        <f>AY19+BC19+BE19</f>
        <v>224</v>
      </c>
      <c r="AX19" s="86">
        <v>2</v>
      </c>
      <c r="AY19" s="87">
        <f>80*0.7*1.5</f>
        <v>84</v>
      </c>
      <c r="AZ19" s="35">
        <v>2</v>
      </c>
      <c r="BA19" s="34">
        <f>80*0.7</f>
        <v>56</v>
      </c>
      <c r="BB19" s="41">
        <v>1</v>
      </c>
      <c r="BC19" s="40">
        <f>80*0.7</f>
        <v>56</v>
      </c>
      <c r="BD19" s="86">
        <v>1</v>
      </c>
      <c r="BE19" s="88">
        <f>80*0.7*1.5</f>
        <v>84</v>
      </c>
      <c r="BF19" s="43">
        <f>BH19+BJ19+BL19+BN19+BP19</f>
        <v>0</v>
      </c>
      <c r="BG19" s="41"/>
      <c r="BH19" s="40"/>
      <c r="BI19" s="41"/>
      <c r="BJ19" s="40"/>
      <c r="BK19" s="41"/>
      <c r="BL19" s="40"/>
      <c r="BM19" s="41"/>
      <c r="BN19" s="40"/>
      <c r="BO19" s="41"/>
      <c r="BP19" s="42"/>
      <c r="BQ19" s="43">
        <f>BS19+BU19+BW19+BY19</f>
        <v>84</v>
      </c>
      <c r="BR19" s="41"/>
      <c r="BS19" s="40"/>
      <c r="BT19" s="41"/>
      <c r="BU19" s="40"/>
      <c r="BV19" s="41">
        <v>2</v>
      </c>
      <c r="BW19" s="40">
        <f>60*0.8</f>
        <v>48</v>
      </c>
      <c r="BX19" s="86">
        <v>4</v>
      </c>
      <c r="BY19" s="88">
        <f>30*0.8*1.5</f>
        <v>36</v>
      </c>
      <c r="BZ19" s="43">
        <f t="shared" si="16"/>
        <v>0</v>
      </c>
      <c r="CA19" s="106"/>
      <c r="CB19" s="102"/>
      <c r="CC19" s="41"/>
      <c r="CD19" s="40"/>
      <c r="CE19" s="41"/>
      <c r="CF19" s="40"/>
      <c r="CG19" s="41"/>
      <c r="CH19" s="40"/>
      <c r="CI19" s="41"/>
      <c r="CJ19" s="42"/>
      <c r="CK19" s="43">
        <f t="shared" si="17"/>
        <v>112.5</v>
      </c>
      <c r="CL19" s="41"/>
      <c r="CM19" s="40"/>
      <c r="CN19" s="41">
        <v>8</v>
      </c>
      <c r="CO19" s="40">
        <f>15*1.5</f>
        <v>22.5</v>
      </c>
      <c r="CP19" s="86">
        <v>4</v>
      </c>
      <c r="CQ19" s="87">
        <f>30*1.5*1.5</f>
        <v>67.5</v>
      </c>
      <c r="CR19" s="41">
        <v>6</v>
      </c>
      <c r="CS19" s="42">
        <f>15*1.5</f>
        <v>22.5</v>
      </c>
      <c r="CT19" s="43">
        <f t="shared" si="18"/>
        <v>0</v>
      </c>
      <c r="CU19" s="41"/>
      <c r="CV19" s="40"/>
      <c r="CW19" s="40"/>
      <c r="CX19" s="40"/>
      <c r="CY19" s="40"/>
      <c r="CZ19" s="40"/>
      <c r="DA19" s="41"/>
      <c r="DB19" s="42"/>
      <c r="DC19" s="43">
        <f t="shared" si="13"/>
        <v>0</v>
      </c>
      <c r="DD19" s="41"/>
      <c r="DE19" s="40"/>
      <c r="DF19" s="40"/>
      <c r="DG19" s="40"/>
      <c r="DH19" s="40"/>
      <c r="DI19" s="40"/>
      <c r="DJ19" s="41"/>
      <c r="DK19" s="42"/>
    </row>
    <row r="20" spans="1:115" s="1" customFormat="1" ht="15" hidden="1" customHeight="1" x14ac:dyDescent="0.3">
      <c r="A20" s="2">
        <f t="shared" si="0"/>
        <v>4</v>
      </c>
      <c r="B20" s="14">
        <v>3694</v>
      </c>
      <c r="C20" s="5" t="s">
        <v>18</v>
      </c>
      <c r="D20" s="17">
        <v>2003</v>
      </c>
      <c r="E20" s="16">
        <f t="shared" si="12"/>
        <v>399.25</v>
      </c>
      <c r="F20" s="37" t="s">
        <v>179</v>
      </c>
      <c r="G20" s="37"/>
      <c r="H20" s="37" t="s">
        <v>181</v>
      </c>
      <c r="I20" s="37"/>
      <c r="J20" s="38">
        <f>L20+N20</f>
        <v>0</v>
      </c>
      <c r="K20" s="39"/>
      <c r="L20" s="40"/>
      <c r="M20" s="41"/>
      <c r="N20" s="42"/>
      <c r="O20" s="38">
        <f t="shared" si="14"/>
        <v>0</v>
      </c>
      <c r="P20" s="39"/>
      <c r="Q20" s="42"/>
      <c r="R20" s="43">
        <f>T20+V20+Z20+AB20</f>
        <v>200.25</v>
      </c>
      <c r="S20" s="74">
        <v>2</v>
      </c>
      <c r="T20" s="75">
        <f>80*0.9*1.5</f>
        <v>108</v>
      </c>
      <c r="U20" s="44">
        <v>5</v>
      </c>
      <c r="V20" s="45">
        <f>35*0.9</f>
        <v>31.5</v>
      </c>
      <c r="W20" s="31">
        <v>5</v>
      </c>
      <c r="X20" s="32">
        <f>26*0.9</f>
        <v>23.400000000000002</v>
      </c>
      <c r="Y20" s="74">
        <v>3</v>
      </c>
      <c r="Z20" s="75">
        <f>45*0.9*1.5</f>
        <v>60.75</v>
      </c>
      <c r="AA20" s="44"/>
      <c r="AB20" s="78"/>
      <c r="AC20" s="82">
        <f t="shared" si="15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 t="shared" si="19"/>
        <v>0</v>
      </c>
      <c r="AO20" s="41"/>
      <c r="AP20" s="40"/>
      <c r="AQ20" s="41"/>
      <c r="AR20" s="40"/>
      <c r="AS20" s="41"/>
      <c r="AT20" s="40"/>
      <c r="AU20" s="41"/>
      <c r="AV20" s="42"/>
      <c r="AW20" s="43">
        <f>AY20+BA20+BC20+BE20</f>
        <v>0</v>
      </c>
      <c r="AX20" s="41"/>
      <c r="AY20" s="40"/>
      <c r="AZ20" s="41"/>
      <c r="BA20" s="40"/>
      <c r="BB20" s="41"/>
      <c r="BC20" s="40"/>
      <c r="BD20" s="41"/>
      <c r="BE20" s="42"/>
      <c r="BF20" s="43">
        <f>BH20+BJ20+BL20+BN20+BP20</f>
        <v>199</v>
      </c>
      <c r="BG20" s="86">
        <v>2</v>
      </c>
      <c r="BH20" s="87">
        <f>80*1.5</f>
        <v>120</v>
      </c>
      <c r="BI20" s="41">
        <v>4</v>
      </c>
      <c r="BJ20" s="40">
        <f>40</f>
        <v>40</v>
      </c>
      <c r="BK20" s="41"/>
      <c r="BL20" s="40"/>
      <c r="BM20" s="41"/>
      <c r="BN20" s="40"/>
      <c r="BO20" s="86">
        <v>5</v>
      </c>
      <c r="BP20" s="88">
        <f>26*1.5</f>
        <v>39</v>
      </c>
      <c r="BQ20" s="43">
        <f>BS20+BU20+BW20+BY20</f>
        <v>0</v>
      </c>
      <c r="BR20" s="41"/>
      <c r="BS20" s="40"/>
      <c r="BT20" s="41"/>
      <c r="BU20" s="40"/>
      <c r="BV20" s="41"/>
      <c r="BW20" s="40"/>
      <c r="BX20" s="41"/>
      <c r="BY20" s="42"/>
      <c r="BZ20" s="43">
        <f t="shared" si="16"/>
        <v>0</v>
      </c>
      <c r="CA20" s="106"/>
      <c r="CB20" s="102"/>
      <c r="CC20" s="41"/>
      <c r="CD20" s="40"/>
      <c r="CE20" s="41"/>
      <c r="CF20" s="40"/>
      <c r="CG20" s="41"/>
      <c r="CH20" s="40"/>
      <c r="CI20" s="41"/>
      <c r="CJ20" s="42"/>
      <c r="CK20" s="43">
        <f t="shared" si="17"/>
        <v>0</v>
      </c>
      <c r="CL20" s="41"/>
      <c r="CM20" s="40"/>
      <c r="CN20" s="41"/>
      <c r="CO20" s="40"/>
      <c r="CP20" s="41"/>
      <c r="CQ20" s="40"/>
      <c r="CR20" s="41"/>
      <c r="CS20" s="42"/>
      <c r="CT20" s="43">
        <f t="shared" si="18"/>
        <v>0</v>
      </c>
      <c r="CU20" s="41"/>
      <c r="CV20" s="40"/>
      <c r="CW20" s="40"/>
      <c r="CX20" s="40"/>
      <c r="CY20" s="40"/>
      <c r="CZ20" s="40"/>
      <c r="DA20" s="41"/>
      <c r="DB20" s="42"/>
      <c r="DC20" s="43">
        <f t="shared" si="13"/>
        <v>0</v>
      </c>
      <c r="DD20" s="41"/>
      <c r="DE20" s="40"/>
      <c r="DF20" s="40"/>
      <c r="DG20" s="40"/>
      <c r="DH20" s="40"/>
      <c r="DI20" s="40"/>
      <c r="DJ20" s="41"/>
      <c r="DK20" s="42"/>
    </row>
    <row r="21" spans="1:115" s="1" customFormat="1" ht="15" hidden="1" customHeight="1" x14ac:dyDescent="0.3">
      <c r="A21" s="2">
        <f t="shared" si="0"/>
        <v>5</v>
      </c>
      <c r="B21" s="14">
        <v>6669</v>
      </c>
      <c r="C21" s="5" t="s">
        <v>56</v>
      </c>
      <c r="D21" s="15">
        <v>2008</v>
      </c>
      <c r="E21" s="16">
        <f t="shared" si="12"/>
        <v>372</v>
      </c>
      <c r="F21" s="37" t="s">
        <v>157</v>
      </c>
      <c r="G21" s="37"/>
      <c r="H21" s="37" t="s">
        <v>182</v>
      </c>
      <c r="I21" s="37"/>
      <c r="J21" s="38">
        <f>L21</f>
        <v>16</v>
      </c>
      <c r="K21" s="39">
        <v>4</v>
      </c>
      <c r="L21" s="40">
        <f>40*0.4</f>
        <v>16</v>
      </c>
      <c r="M21" s="35">
        <v>9</v>
      </c>
      <c r="N21" s="36">
        <f>10*0.4</f>
        <v>4</v>
      </c>
      <c r="O21" s="38">
        <f t="shared" si="14"/>
        <v>0</v>
      </c>
      <c r="P21" s="39"/>
      <c r="Q21" s="42"/>
      <c r="R21" s="43">
        <f>T21+V21+X21+Z21+AB21</f>
        <v>0</v>
      </c>
      <c r="S21" s="44"/>
      <c r="T21" s="45"/>
      <c r="U21" s="44"/>
      <c r="V21" s="45"/>
      <c r="W21" s="44"/>
      <c r="X21" s="45"/>
      <c r="Y21" s="44"/>
      <c r="Z21" s="45"/>
      <c r="AA21" s="44"/>
      <c r="AB21" s="78"/>
      <c r="AC21" s="82">
        <f t="shared" si="15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 t="shared" si="19"/>
        <v>0</v>
      </c>
      <c r="AO21" s="41"/>
      <c r="AP21" s="40"/>
      <c r="AQ21" s="41"/>
      <c r="AR21" s="40"/>
      <c r="AS21" s="41"/>
      <c r="AT21" s="40"/>
      <c r="AU21" s="41"/>
      <c r="AV21" s="42"/>
      <c r="AW21" s="43">
        <f>AY21+BC21+BE21</f>
        <v>182</v>
      </c>
      <c r="AX21" s="86">
        <v>4</v>
      </c>
      <c r="AY21" s="87">
        <f>40*0.7*1.5</f>
        <v>42</v>
      </c>
      <c r="AZ21" s="35">
        <v>3</v>
      </c>
      <c r="BA21" s="34">
        <f>60*0.7</f>
        <v>42</v>
      </c>
      <c r="BB21" s="41">
        <v>1</v>
      </c>
      <c r="BC21" s="40">
        <f>80*0.7</f>
        <v>56</v>
      </c>
      <c r="BD21" s="86">
        <v>1</v>
      </c>
      <c r="BE21" s="88">
        <f>80*0.7*1.5</f>
        <v>84</v>
      </c>
      <c r="BF21" s="43">
        <f>BH21+BJ21+BL21+BN21+BP21</f>
        <v>0</v>
      </c>
      <c r="BG21" s="41"/>
      <c r="BH21" s="40"/>
      <c r="BI21" s="41"/>
      <c r="BJ21" s="40"/>
      <c r="BK21" s="41"/>
      <c r="BL21" s="40"/>
      <c r="BM21" s="41"/>
      <c r="BN21" s="40"/>
      <c r="BO21" s="41"/>
      <c r="BP21" s="42"/>
      <c r="BQ21" s="43">
        <f>BS21+BU21+BW21+BY21</f>
        <v>84</v>
      </c>
      <c r="BR21" s="41"/>
      <c r="BS21" s="40"/>
      <c r="BT21" s="41"/>
      <c r="BU21" s="40"/>
      <c r="BV21" s="41">
        <v>2</v>
      </c>
      <c r="BW21" s="40">
        <f>60*0.8</f>
        <v>48</v>
      </c>
      <c r="BX21" s="86">
        <v>4</v>
      </c>
      <c r="BY21" s="88">
        <f>30*0.8*1.5</f>
        <v>36</v>
      </c>
      <c r="BZ21" s="43">
        <f t="shared" si="16"/>
        <v>0</v>
      </c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>
        <f t="shared" si="17"/>
        <v>90</v>
      </c>
      <c r="CL21" s="41"/>
      <c r="CM21" s="40"/>
      <c r="CN21" s="41">
        <v>8</v>
      </c>
      <c r="CO21" s="40">
        <f>15*1.5</f>
        <v>22.5</v>
      </c>
      <c r="CP21" s="86">
        <v>4</v>
      </c>
      <c r="CQ21" s="87">
        <f>30*1.5*1.5</f>
        <v>67.5</v>
      </c>
      <c r="CR21" s="41"/>
      <c r="CS21" s="42"/>
      <c r="CT21" s="43">
        <f t="shared" si="18"/>
        <v>0</v>
      </c>
      <c r="CU21" s="41"/>
      <c r="CV21" s="40"/>
      <c r="CW21" s="40"/>
      <c r="CX21" s="40"/>
      <c r="CY21" s="40"/>
      <c r="CZ21" s="40"/>
      <c r="DA21" s="41"/>
      <c r="DB21" s="42"/>
      <c r="DC21" s="43">
        <f t="shared" si="13"/>
        <v>0</v>
      </c>
      <c r="DD21" s="41"/>
      <c r="DE21" s="40"/>
      <c r="DF21" s="40"/>
      <c r="DG21" s="40"/>
      <c r="DH21" s="40"/>
      <c r="DI21" s="40"/>
      <c r="DJ21" s="41"/>
      <c r="DK21" s="42"/>
    </row>
    <row r="22" spans="1:115" s="1" customFormat="1" ht="15" hidden="1" customHeight="1" x14ac:dyDescent="0.3">
      <c r="A22" s="2">
        <f t="shared" si="0"/>
        <v>6</v>
      </c>
      <c r="B22" s="14">
        <v>4706</v>
      </c>
      <c r="C22" s="5" t="s">
        <v>22</v>
      </c>
      <c r="D22" s="17">
        <v>2004</v>
      </c>
      <c r="E22" s="16">
        <f t="shared" si="12"/>
        <v>364</v>
      </c>
      <c r="F22" s="37" t="s">
        <v>162</v>
      </c>
      <c r="G22" s="37"/>
      <c r="H22" s="37" t="s">
        <v>203</v>
      </c>
      <c r="I22" s="37"/>
      <c r="J22" s="38">
        <f>L22+N22</f>
        <v>0</v>
      </c>
      <c r="K22" s="39"/>
      <c r="L22" s="40"/>
      <c r="M22" s="41"/>
      <c r="N22" s="42"/>
      <c r="O22" s="38">
        <f t="shared" si="14"/>
        <v>0</v>
      </c>
      <c r="P22" s="39"/>
      <c r="Q22" s="42"/>
      <c r="R22" s="43">
        <f>T22+V22+X22+Z22+AB22</f>
        <v>30.6</v>
      </c>
      <c r="S22" s="44"/>
      <c r="T22" s="45"/>
      <c r="U22" s="44"/>
      <c r="V22" s="45"/>
      <c r="W22" s="44">
        <v>6</v>
      </c>
      <c r="X22" s="45">
        <f>22*0.9</f>
        <v>19.8</v>
      </c>
      <c r="Y22" s="74">
        <v>9</v>
      </c>
      <c r="Z22" s="75">
        <f>8*0.9*1.5</f>
        <v>10.8</v>
      </c>
      <c r="AA22" s="44"/>
      <c r="AB22" s="78"/>
      <c r="AC22" s="82">
        <f t="shared" si="15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>
        <f t="shared" si="19"/>
        <v>126.4</v>
      </c>
      <c r="AO22" s="86">
        <v>6</v>
      </c>
      <c r="AP22" s="87">
        <f>30*0.8*1.5</f>
        <v>36</v>
      </c>
      <c r="AQ22" s="41"/>
      <c r="AR22" s="40"/>
      <c r="AS22" s="41">
        <v>1</v>
      </c>
      <c r="AT22" s="40">
        <f>80*0.8</f>
        <v>64</v>
      </c>
      <c r="AU22" s="86">
        <v>6</v>
      </c>
      <c r="AV22" s="88">
        <f>22*0.8*1.5</f>
        <v>26.400000000000002</v>
      </c>
      <c r="AW22" s="43">
        <f t="shared" ref="AW22:AW29" si="20">AY22+BA22+BC22+BE22</f>
        <v>0</v>
      </c>
      <c r="AX22" s="41"/>
      <c r="AY22" s="40"/>
      <c r="AZ22" s="41"/>
      <c r="BA22" s="40"/>
      <c r="BB22" s="41"/>
      <c r="BC22" s="40"/>
      <c r="BD22" s="41"/>
      <c r="BE22" s="42"/>
      <c r="BF22" s="43">
        <f>BH22+BJ22+BL22+BN22+BP22</f>
        <v>90</v>
      </c>
      <c r="BG22" s="41"/>
      <c r="BH22" s="40"/>
      <c r="BI22" s="41"/>
      <c r="BJ22" s="40"/>
      <c r="BK22" s="41"/>
      <c r="BL22" s="40"/>
      <c r="BM22" s="41">
        <v>3</v>
      </c>
      <c r="BN22" s="40">
        <f>45</f>
        <v>45</v>
      </c>
      <c r="BO22" s="86">
        <v>4</v>
      </c>
      <c r="BP22" s="88">
        <f>30*1.5</f>
        <v>45</v>
      </c>
      <c r="BQ22" s="43">
        <f>BS22+BW22+BY22</f>
        <v>90</v>
      </c>
      <c r="BR22" s="41"/>
      <c r="BS22" s="40"/>
      <c r="BT22" s="35">
        <v>9</v>
      </c>
      <c r="BU22" s="34">
        <f>10*0.8</f>
        <v>8</v>
      </c>
      <c r="BV22" s="41">
        <v>3</v>
      </c>
      <c r="BW22" s="40">
        <f>45*0.8</f>
        <v>36</v>
      </c>
      <c r="BX22" s="86">
        <v>3</v>
      </c>
      <c r="BY22" s="88">
        <f>45*0.8*1.5</f>
        <v>54</v>
      </c>
      <c r="BZ22" s="43">
        <f t="shared" si="16"/>
        <v>27</v>
      </c>
      <c r="CA22" s="106"/>
      <c r="CB22" s="102"/>
      <c r="CC22" s="41"/>
      <c r="CD22" s="40"/>
      <c r="CE22" s="41"/>
      <c r="CF22" s="40"/>
      <c r="CG22" s="41"/>
      <c r="CH22" s="40"/>
      <c r="CI22" s="41">
        <v>6</v>
      </c>
      <c r="CJ22" s="42">
        <f>15*1.8</f>
        <v>27</v>
      </c>
      <c r="CK22" s="43">
        <f t="shared" si="17"/>
        <v>0</v>
      </c>
      <c r="CL22" s="41"/>
      <c r="CM22" s="40"/>
      <c r="CN22" s="41"/>
      <c r="CO22" s="40"/>
      <c r="CP22" s="41"/>
      <c r="CQ22" s="40"/>
      <c r="CR22" s="41"/>
      <c r="CS22" s="42"/>
      <c r="CT22" s="43">
        <f t="shared" si="18"/>
        <v>0</v>
      </c>
      <c r="CU22" s="41"/>
      <c r="CV22" s="40"/>
      <c r="CW22" s="40"/>
      <c r="CX22" s="40"/>
      <c r="CY22" s="40"/>
      <c r="CZ22" s="40"/>
      <c r="DA22" s="41"/>
      <c r="DB22" s="42"/>
      <c r="DC22" s="43">
        <f t="shared" si="13"/>
        <v>0</v>
      </c>
      <c r="DD22" s="41"/>
      <c r="DE22" s="40"/>
      <c r="DF22" s="40"/>
      <c r="DG22" s="40"/>
      <c r="DH22" s="40"/>
      <c r="DI22" s="40"/>
      <c r="DJ22" s="41"/>
      <c r="DK22" s="42"/>
    </row>
    <row r="23" spans="1:115" s="1" customFormat="1" ht="15" hidden="1" customHeight="1" x14ac:dyDescent="0.3">
      <c r="A23" s="2">
        <f t="shared" si="0"/>
        <v>7</v>
      </c>
      <c r="B23" s="14">
        <v>345</v>
      </c>
      <c r="C23" s="5" t="s">
        <v>25</v>
      </c>
      <c r="D23" s="17">
        <v>1998</v>
      </c>
      <c r="E23" s="16">
        <f t="shared" si="12"/>
        <v>330.5</v>
      </c>
      <c r="F23" s="37" t="s">
        <v>155</v>
      </c>
      <c r="G23" s="37" t="s">
        <v>149</v>
      </c>
      <c r="H23" s="37" t="s">
        <v>161</v>
      </c>
      <c r="I23" s="37" t="s">
        <v>150</v>
      </c>
      <c r="J23" s="38">
        <f>L23+N23</f>
        <v>0</v>
      </c>
      <c r="K23" s="39"/>
      <c r="L23" s="40"/>
      <c r="M23" s="41"/>
      <c r="N23" s="42"/>
      <c r="O23" s="38">
        <f t="shared" si="14"/>
        <v>56</v>
      </c>
      <c r="P23" s="39">
        <v>2</v>
      </c>
      <c r="Q23" s="42">
        <f>80*0.7</f>
        <v>56</v>
      </c>
      <c r="R23" s="43">
        <f>T23+X23+Z23+AB23</f>
        <v>94.5</v>
      </c>
      <c r="S23" s="44"/>
      <c r="T23" s="45"/>
      <c r="U23" s="31">
        <v>4</v>
      </c>
      <c r="V23" s="32">
        <f>40*0.9</f>
        <v>36</v>
      </c>
      <c r="W23" s="44">
        <v>2</v>
      </c>
      <c r="X23" s="45">
        <f>60*0.9</f>
        <v>54</v>
      </c>
      <c r="Y23" s="74">
        <v>4</v>
      </c>
      <c r="Z23" s="75">
        <f>30*0.9*1.5</f>
        <v>40.5</v>
      </c>
      <c r="AA23" s="44"/>
      <c r="AB23" s="78"/>
      <c r="AC23" s="82">
        <f t="shared" si="15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 t="shared" si="19"/>
        <v>0</v>
      </c>
      <c r="AO23" s="41"/>
      <c r="AP23" s="40"/>
      <c r="AQ23" s="41"/>
      <c r="AR23" s="40"/>
      <c r="AS23" s="41"/>
      <c r="AT23" s="40"/>
      <c r="AU23" s="41"/>
      <c r="AV23" s="42"/>
      <c r="AW23" s="43">
        <f t="shared" si="20"/>
        <v>0</v>
      </c>
      <c r="AX23" s="41"/>
      <c r="AY23" s="40"/>
      <c r="AZ23" s="41"/>
      <c r="BA23" s="40"/>
      <c r="BB23" s="41"/>
      <c r="BC23" s="40"/>
      <c r="BD23" s="41"/>
      <c r="BE23" s="42"/>
      <c r="BF23" s="43">
        <f>BH23+BN23+BP23</f>
        <v>180</v>
      </c>
      <c r="BG23" s="86">
        <v>8</v>
      </c>
      <c r="BH23" s="87">
        <f>20*1.5</f>
        <v>30</v>
      </c>
      <c r="BI23" s="35">
        <v>7</v>
      </c>
      <c r="BJ23" s="34">
        <f>25</f>
        <v>25</v>
      </c>
      <c r="BK23" s="35">
        <v>3</v>
      </c>
      <c r="BL23" s="34">
        <f>60</f>
        <v>60</v>
      </c>
      <c r="BM23" s="41">
        <v>2</v>
      </c>
      <c r="BN23" s="40">
        <f>60</f>
        <v>60</v>
      </c>
      <c r="BO23" s="86">
        <v>2</v>
      </c>
      <c r="BP23" s="88">
        <f>60*1.5</f>
        <v>90</v>
      </c>
      <c r="BQ23" s="43">
        <f>BS23+BU23+BW23+BY23</f>
        <v>0</v>
      </c>
      <c r="BR23" s="41"/>
      <c r="BS23" s="40"/>
      <c r="BT23" s="41"/>
      <c r="BU23" s="40"/>
      <c r="BV23" s="41"/>
      <c r="BW23" s="40"/>
      <c r="BX23" s="41"/>
      <c r="BY23" s="42"/>
      <c r="BZ23" s="43">
        <f t="shared" si="16"/>
        <v>0</v>
      </c>
      <c r="CA23" s="106"/>
      <c r="CB23" s="102"/>
      <c r="CC23" s="41"/>
      <c r="CD23" s="40"/>
      <c r="CE23" s="41"/>
      <c r="CF23" s="40"/>
      <c r="CG23" s="41"/>
      <c r="CH23" s="40"/>
      <c r="CI23" s="41"/>
      <c r="CJ23" s="42"/>
      <c r="CK23" s="43">
        <f t="shared" si="17"/>
        <v>0</v>
      </c>
      <c r="CL23" s="41"/>
      <c r="CM23" s="40"/>
      <c r="CN23" s="41"/>
      <c r="CO23" s="40"/>
      <c r="CP23" s="41"/>
      <c r="CQ23" s="40"/>
      <c r="CR23" s="41"/>
      <c r="CS23" s="42"/>
      <c r="CT23" s="43">
        <f t="shared" si="18"/>
        <v>0</v>
      </c>
      <c r="CU23" s="41"/>
      <c r="CV23" s="40"/>
      <c r="CW23" s="40"/>
      <c r="CX23" s="40"/>
      <c r="CY23" s="40"/>
      <c r="CZ23" s="40"/>
      <c r="DA23" s="41"/>
      <c r="DB23" s="42"/>
      <c r="DC23" s="43">
        <f t="shared" si="13"/>
        <v>0</v>
      </c>
      <c r="DD23" s="41"/>
      <c r="DE23" s="40"/>
      <c r="DF23" s="40"/>
      <c r="DG23" s="40"/>
      <c r="DH23" s="40"/>
      <c r="DI23" s="40"/>
      <c r="DJ23" s="41"/>
      <c r="DK23" s="42"/>
    </row>
    <row r="24" spans="1:115" s="1" customFormat="1" ht="15" hidden="1" customHeight="1" x14ac:dyDescent="0.3">
      <c r="A24" s="2">
        <f t="shared" si="0"/>
        <v>8</v>
      </c>
      <c r="B24" s="14">
        <v>4600</v>
      </c>
      <c r="C24" s="5" t="s">
        <v>23</v>
      </c>
      <c r="D24" s="15">
        <v>2005</v>
      </c>
      <c r="E24" s="16">
        <f t="shared" si="12"/>
        <v>326.75</v>
      </c>
      <c r="F24" s="37" t="s">
        <v>179</v>
      </c>
      <c r="G24" s="37"/>
      <c r="H24" s="37" t="s">
        <v>180</v>
      </c>
      <c r="I24" s="37"/>
      <c r="J24" s="38">
        <f>L24+N24</f>
        <v>0</v>
      </c>
      <c r="K24" s="39"/>
      <c r="L24" s="40"/>
      <c r="M24" s="41"/>
      <c r="N24" s="42"/>
      <c r="O24" s="38">
        <f t="shared" si="14"/>
        <v>21</v>
      </c>
      <c r="P24" s="39">
        <v>6</v>
      </c>
      <c r="Q24" s="42">
        <f>30*0.7</f>
        <v>21</v>
      </c>
      <c r="R24" s="43">
        <f>T24+V24+Z24+AB24</f>
        <v>87.75</v>
      </c>
      <c r="S24" s="44"/>
      <c r="T24" s="45"/>
      <c r="U24" s="44"/>
      <c r="V24" s="45"/>
      <c r="W24" s="31">
        <v>5</v>
      </c>
      <c r="X24" s="32">
        <f>26*0.9</f>
        <v>23.400000000000002</v>
      </c>
      <c r="Y24" s="74">
        <v>3</v>
      </c>
      <c r="Z24" s="75">
        <f>45*0.9*1.5</f>
        <v>60.75</v>
      </c>
      <c r="AA24" s="44">
        <v>6</v>
      </c>
      <c r="AB24" s="78">
        <f>30*0.9</f>
        <v>27</v>
      </c>
      <c r="AC24" s="82">
        <f t="shared" si="15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>
        <f t="shared" si="19"/>
        <v>72</v>
      </c>
      <c r="AO24" s="41"/>
      <c r="AP24" s="40"/>
      <c r="AQ24" s="41"/>
      <c r="AR24" s="40"/>
      <c r="AS24" s="41"/>
      <c r="AT24" s="40"/>
      <c r="AU24" s="86">
        <v>2</v>
      </c>
      <c r="AV24" s="88">
        <f>60*0.8*1.5</f>
        <v>72</v>
      </c>
      <c r="AW24" s="43">
        <f t="shared" si="20"/>
        <v>0</v>
      </c>
      <c r="AX24" s="41"/>
      <c r="AY24" s="40"/>
      <c r="AZ24" s="41"/>
      <c r="BA24" s="40"/>
      <c r="BB24" s="41"/>
      <c r="BC24" s="40"/>
      <c r="BD24" s="41"/>
      <c r="BE24" s="42"/>
      <c r="BF24" s="43">
        <f t="shared" ref="BF24:BF35" si="21">BH24+BJ24+BL24+BN24+BP24</f>
        <v>74</v>
      </c>
      <c r="BG24" s="41"/>
      <c r="BH24" s="40"/>
      <c r="BI24" s="41"/>
      <c r="BJ24" s="40"/>
      <c r="BK24" s="41">
        <v>5</v>
      </c>
      <c r="BL24" s="40">
        <f>35</f>
        <v>35</v>
      </c>
      <c r="BM24" s="41"/>
      <c r="BN24" s="40"/>
      <c r="BO24" s="86">
        <v>5</v>
      </c>
      <c r="BP24" s="88">
        <f>26*1.5</f>
        <v>39</v>
      </c>
      <c r="BQ24" s="43">
        <f>BS24+BU24+BY24</f>
        <v>72</v>
      </c>
      <c r="BR24" s="41"/>
      <c r="BS24" s="40"/>
      <c r="BT24" s="41"/>
      <c r="BU24" s="40"/>
      <c r="BV24" s="35">
        <v>7</v>
      </c>
      <c r="BW24" s="35" t="s">
        <v>110</v>
      </c>
      <c r="BX24" s="86">
        <v>2</v>
      </c>
      <c r="BY24" s="88">
        <f>60*0.8*1.5</f>
        <v>72</v>
      </c>
      <c r="BZ24" s="43">
        <f t="shared" si="16"/>
        <v>0</v>
      </c>
      <c r="CA24" s="106"/>
      <c r="CB24" s="102"/>
      <c r="CC24" s="41"/>
      <c r="CD24" s="40"/>
      <c r="CE24" s="41"/>
      <c r="CF24" s="40"/>
      <c r="CG24" s="41"/>
      <c r="CH24" s="41"/>
      <c r="CI24" s="41"/>
      <c r="CJ24" s="42"/>
      <c r="CK24" s="43">
        <f t="shared" si="17"/>
        <v>0</v>
      </c>
      <c r="CL24" s="41"/>
      <c r="CM24" s="40"/>
      <c r="CN24" s="41"/>
      <c r="CO24" s="40"/>
      <c r="CP24" s="41"/>
      <c r="CQ24" s="41"/>
      <c r="CR24" s="41"/>
      <c r="CS24" s="42"/>
      <c r="CT24" s="43">
        <f t="shared" si="18"/>
        <v>0</v>
      </c>
      <c r="CU24" s="41"/>
      <c r="CV24" s="40"/>
      <c r="CW24" s="40"/>
      <c r="CX24" s="40"/>
      <c r="CY24" s="40"/>
      <c r="CZ24" s="40"/>
      <c r="DA24" s="41"/>
      <c r="DB24" s="42"/>
      <c r="DC24" s="43">
        <f t="shared" si="13"/>
        <v>0</v>
      </c>
      <c r="DD24" s="41"/>
      <c r="DE24" s="40"/>
      <c r="DF24" s="40"/>
      <c r="DG24" s="40"/>
      <c r="DH24" s="40"/>
      <c r="DI24" s="40"/>
      <c r="DJ24" s="41"/>
      <c r="DK24" s="42"/>
    </row>
    <row r="25" spans="1:115" s="1" customFormat="1" ht="15" hidden="1" customHeight="1" x14ac:dyDescent="0.3">
      <c r="A25" s="2">
        <f t="shared" si="0"/>
        <v>9</v>
      </c>
      <c r="B25" s="14">
        <v>3828</v>
      </c>
      <c r="C25" s="5" t="s">
        <v>33</v>
      </c>
      <c r="D25" s="15">
        <v>2004</v>
      </c>
      <c r="E25" s="16">
        <f t="shared" si="12"/>
        <v>304.7</v>
      </c>
      <c r="F25" s="37" t="s">
        <v>153</v>
      </c>
      <c r="G25" s="37"/>
      <c r="H25" s="37" t="s">
        <v>195</v>
      </c>
      <c r="I25" s="37" t="s">
        <v>196</v>
      </c>
      <c r="J25" s="38">
        <f>L25+N25</f>
        <v>0</v>
      </c>
      <c r="K25" s="39"/>
      <c r="L25" s="40"/>
      <c r="M25" s="41"/>
      <c r="N25" s="42"/>
      <c r="O25" s="38">
        <f t="shared" si="14"/>
        <v>24.5</v>
      </c>
      <c r="P25" s="39">
        <v>5</v>
      </c>
      <c r="Q25" s="42">
        <f>35*0.7</f>
        <v>24.5</v>
      </c>
      <c r="R25" s="43">
        <f>T25+V25+X25+Z25+AB25</f>
        <v>54</v>
      </c>
      <c r="S25" s="44"/>
      <c r="T25" s="45"/>
      <c r="U25" s="44"/>
      <c r="V25" s="45"/>
      <c r="W25" s="44"/>
      <c r="X25" s="45"/>
      <c r="Y25" s="44"/>
      <c r="Z25" s="45"/>
      <c r="AA25" s="44">
        <v>3</v>
      </c>
      <c r="AB25" s="78">
        <f>60*0.9</f>
        <v>54</v>
      </c>
      <c r="AC25" s="82">
        <f t="shared" si="15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>
        <f>AP25+AR25+AV25</f>
        <v>128</v>
      </c>
      <c r="AO25" s="86">
        <v>5</v>
      </c>
      <c r="AP25" s="87">
        <f>35*0.8*1.5</f>
        <v>42</v>
      </c>
      <c r="AQ25" s="41">
        <v>4</v>
      </c>
      <c r="AR25" s="40">
        <f>40*0.8</f>
        <v>32</v>
      </c>
      <c r="AS25" s="35">
        <v>4</v>
      </c>
      <c r="AT25" s="34">
        <f>30*0.8</f>
        <v>24</v>
      </c>
      <c r="AU25" s="86">
        <v>3</v>
      </c>
      <c r="AV25" s="88">
        <f>45*0.8*1.5</f>
        <v>54</v>
      </c>
      <c r="AW25" s="43">
        <f t="shared" si="20"/>
        <v>0</v>
      </c>
      <c r="AX25" s="41"/>
      <c r="AY25" s="40"/>
      <c r="AZ25" s="41"/>
      <c r="BA25" s="40"/>
      <c r="BB25" s="41"/>
      <c r="BC25" s="40"/>
      <c r="BD25" s="41"/>
      <c r="BE25" s="42"/>
      <c r="BF25" s="43">
        <f t="shared" si="21"/>
        <v>35</v>
      </c>
      <c r="BG25" s="41"/>
      <c r="BH25" s="40"/>
      <c r="BI25" s="41">
        <v>5</v>
      </c>
      <c r="BJ25" s="40">
        <f>35</f>
        <v>35</v>
      </c>
      <c r="BK25" s="41"/>
      <c r="BL25" s="40"/>
      <c r="BM25" s="41"/>
      <c r="BN25" s="40"/>
      <c r="BO25" s="41"/>
      <c r="BP25" s="42"/>
      <c r="BQ25" s="43">
        <f>BS25+BU25+BY25</f>
        <v>63.2</v>
      </c>
      <c r="BR25" s="41"/>
      <c r="BS25" s="40"/>
      <c r="BT25" s="41">
        <v>4</v>
      </c>
      <c r="BU25" s="40">
        <f>40*0.8</f>
        <v>32</v>
      </c>
      <c r="BV25" s="35">
        <v>4</v>
      </c>
      <c r="BW25" s="34">
        <f>30*0.8</f>
        <v>24</v>
      </c>
      <c r="BX25" s="86">
        <v>5</v>
      </c>
      <c r="BY25" s="88">
        <f>26*0.8*1.5</f>
        <v>31.200000000000003</v>
      </c>
      <c r="BZ25" s="43">
        <f t="shared" si="16"/>
        <v>0</v>
      </c>
      <c r="CA25" s="106"/>
      <c r="CB25" s="102"/>
      <c r="CC25" s="41"/>
      <c r="CD25" s="40"/>
      <c r="CE25" s="41"/>
      <c r="CF25" s="40"/>
      <c r="CG25" s="41"/>
      <c r="CH25" s="40"/>
      <c r="CI25" s="41"/>
      <c r="CJ25" s="42"/>
      <c r="CK25" s="43">
        <f t="shared" si="17"/>
        <v>0</v>
      </c>
      <c r="CL25" s="41"/>
      <c r="CM25" s="40"/>
      <c r="CN25" s="41"/>
      <c r="CO25" s="40"/>
      <c r="CP25" s="41"/>
      <c r="CQ25" s="40"/>
      <c r="CR25" s="41"/>
      <c r="CS25" s="42"/>
      <c r="CT25" s="43">
        <f t="shared" si="18"/>
        <v>0</v>
      </c>
      <c r="CU25" s="41"/>
      <c r="CV25" s="40"/>
      <c r="CW25" s="40"/>
      <c r="CX25" s="40"/>
      <c r="CY25" s="40"/>
      <c r="CZ25" s="40"/>
      <c r="DA25" s="41"/>
      <c r="DB25" s="42"/>
      <c r="DC25" s="43">
        <f t="shared" si="13"/>
        <v>0</v>
      </c>
      <c r="DD25" s="41"/>
      <c r="DE25" s="40"/>
      <c r="DF25" s="40"/>
      <c r="DG25" s="40"/>
      <c r="DH25" s="40"/>
      <c r="DI25" s="40"/>
      <c r="DJ25" s="41"/>
      <c r="DK25" s="42"/>
    </row>
    <row r="26" spans="1:115" s="1" customFormat="1" ht="15" hidden="1" customHeight="1" x14ac:dyDescent="0.3">
      <c r="A26" s="2">
        <f t="shared" si="0"/>
        <v>10</v>
      </c>
      <c r="B26" s="14">
        <v>4574</v>
      </c>
      <c r="C26" s="5" t="s">
        <v>43</v>
      </c>
      <c r="D26" s="15">
        <v>2003</v>
      </c>
      <c r="E26" s="16">
        <f t="shared" si="12"/>
        <v>289.5</v>
      </c>
      <c r="F26" s="37" t="s">
        <v>179</v>
      </c>
      <c r="G26" s="37"/>
      <c r="H26" s="37" t="s">
        <v>181</v>
      </c>
      <c r="I26" s="37" t="s">
        <v>160</v>
      </c>
      <c r="J26" s="38">
        <f>L26+N26</f>
        <v>0</v>
      </c>
      <c r="K26" s="39"/>
      <c r="L26" s="40"/>
      <c r="M26" s="41"/>
      <c r="N26" s="42"/>
      <c r="O26" s="38">
        <f t="shared" si="14"/>
        <v>0</v>
      </c>
      <c r="P26" s="39"/>
      <c r="Q26" s="42"/>
      <c r="R26" s="43">
        <f>T26+V26+Z26+AB26</f>
        <v>31.5</v>
      </c>
      <c r="S26" s="44"/>
      <c r="T26" s="45"/>
      <c r="U26" s="44"/>
      <c r="V26" s="45"/>
      <c r="W26" s="31">
        <v>9</v>
      </c>
      <c r="X26" s="31" t="s">
        <v>110</v>
      </c>
      <c r="Y26" s="44"/>
      <c r="Z26" s="45"/>
      <c r="AA26" s="44">
        <v>5</v>
      </c>
      <c r="AB26" s="78">
        <f>35*0.9</f>
        <v>31.5</v>
      </c>
      <c r="AC26" s="82">
        <f t="shared" si="15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>
        <f>AP26+AR26+AT26+AV26</f>
        <v>92</v>
      </c>
      <c r="AO26" s="41"/>
      <c r="AP26" s="40"/>
      <c r="AQ26" s="41">
        <v>7</v>
      </c>
      <c r="AR26" s="40">
        <f>25*0.8</f>
        <v>20</v>
      </c>
      <c r="AS26" s="41"/>
      <c r="AT26" s="40"/>
      <c r="AU26" s="86">
        <v>2</v>
      </c>
      <c r="AV26" s="88">
        <f>60*0.8*1.5</f>
        <v>72</v>
      </c>
      <c r="AW26" s="43">
        <f t="shared" si="20"/>
        <v>0</v>
      </c>
      <c r="AX26" s="41"/>
      <c r="AY26" s="40"/>
      <c r="AZ26" s="41"/>
      <c r="BA26" s="40"/>
      <c r="BB26" s="41"/>
      <c r="BC26" s="40"/>
      <c r="BD26" s="41"/>
      <c r="BE26" s="42"/>
      <c r="BF26" s="43">
        <f t="shared" si="21"/>
        <v>30</v>
      </c>
      <c r="BG26" s="41"/>
      <c r="BH26" s="40"/>
      <c r="BI26" s="41">
        <v>6</v>
      </c>
      <c r="BJ26" s="40">
        <f>30</f>
        <v>30</v>
      </c>
      <c r="BK26" s="41"/>
      <c r="BL26" s="40"/>
      <c r="BM26" s="41"/>
      <c r="BN26" s="40"/>
      <c r="BO26" s="41"/>
      <c r="BP26" s="42"/>
      <c r="BQ26" s="43">
        <f>BS26+BU26+BY26</f>
        <v>136</v>
      </c>
      <c r="BR26" s="41"/>
      <c r="BS26" s="40"/>
      <c r="BT26" s="41">
        <v>2</v>
      </c>
      <c r="BU26" s="40">
        <f>80*0.8</f>
        <v>64</v>
      </c>
      <c r="BV26" s="35">
        <v>7</v>
      </c>
      <c r="BW26" s="35" t="s">
        <v>110</v>
      </c>
      <c r="BX26" s="86">
        <v>2</v>
      </c>
      <c r="BY26" s="88">
        <f>60*0.8*1.5</f>
        <v>72</v>
      </c>
      <c r="BZ26" s="43">
        <f t="shared" si="16"/>
        <v>0</v>
      </c>
      <c r="CA26" s="106"/>
      <c r="CB26" s="102"/>
      <c r="CC26" s="41"/>
      <c r="CD26" s="40"/>
      <c r="CE26" s="41"/>
      <c r="CF26" s="40"/>
      <c r="CG26" s="41"/>
      <c r="CH26" s="41"/>
      <c r="CI26" s="41"/>
      <c r="CJ26" s="42"/>
      <c r="CK26" s="43">
        <f t="shared" si="17"/>
        <v>0</v>
      </c>
      <c r="CL26" s="41"/>
      <c r="CM26" s="40"/>
      <c r="CN26" s="41"/>
      <c r="CO26" s="40"/>
      <c r="CP26" s="41"/>
      <c r="CQ26" s="41"/>
      <c r="CR26" s="41"/>
      <c r="CS26" s="42"/>
      <c r="CT26" s="43">
        <f t="shared" si="18"/>
        <v>0</v>
      </c>
      <c r="CU26" s="41"/>
      <c r="CV26" s="40"/>
      <c r="CW26" s="40"/>
      <c r="CX26" s="40"/>
      <c r="CY26" s="40"/>
      <c r="CZ26" s="40"/>
      <c r="DA26" s="41"/>
      <c r="DB26" s="42"/>
      <c r="DC26" s="43">
        <f t="shared" si="13"/>
        <v>0</v>
      </c>
      <c r="DD26" s="41"/>
      <c r="DE26" s="40"/>
      <c r="DF26" s="40"/>
      <c r="DG26" s="40"/>
      <c r="DH26" s="40"/>
      <c r="DI26" s="40"/>
      <c r="DJ26" s="41"/>
      <c r="DK26" s="42"/>
    </row>
    <row r="27" spans="1:115" s="1" customFormat="1" ht="15" hidden="1" customHeight="1" x14ac:dyDescent="0.3">
      <c r="A27" s="2">
        <f t="shared" si="0"/>
        <v>11</v>
      </c>
      <c r="B27" s="14">
        <v>5923</v>
      </c>
      <c r="C27" s="5" t="s">
        <v>29</v>
      </c>
      <c r="D27" s="15">
        <v>2007</v>
      </c>
      <c r="E27" s="16">
        <f t="shared" si="12"/>
        <v>282.2</v>
      </c>
      <c r="F27" s="37" t="s">
        <v>179</v>
      </c>
      <c r="G27" s="37"/>
      <c r="H27" s="37" t="s">
        <v>183</v>
      </c>
      <c r="I27" s="37"/>
      <c r="J27" s="38">
        <f>L27</f>
        <v>32</v>
      </c>
      <c r="K27" s="39">
        <v>2</v>
      </c>
      <c r="L27" s="40">
        <f>80*0.4</f>
        <v>32</v>
      </c>
      <c r="M27" s="35">
        <v>3</v>
      </c>
      <c r="N27" s="36">
        <f>60*0.4</f>
        <v>24</v>
      </c>
      <c r="O27" s="38">
        <f t="shared" si="14"/>
        <v>0</v>
      </c>
      <c r="P27" s="39"/>
      <c r="Q27" s="42"/>
      <c r="R27" s="43">
        <f>T27+V27+X27+Z27+AB27</f>
        <v>29.700000000000003</v>
      </c>
      <c r="S27" s="44"/>
      <c r="T27" s="45"/>
      <c r="U27" s="44"/>
      <c r="V27" s="45"/>
      <c r="W27" s="44"/>
      <c r="X27" s="45"/>
      <c r="Y27" s="74">
        <v>6</v>
      </c>
      <c r="Z27" s="75">
        <f>22*0.9*1.5</f>
        <v>29.700000000000003</v>
      </c>
      <c r="AA27" s="44"/>
      <c r="AB27" s="78"/>
      <c r="AC27" s="82">
        <f t="shared" si="15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0</v>
      </c>
      <c r="AO27" s="41"/>
      <c r="AP27" s="40"/>
      <c r="AQ27" s="41"/>
      <c r="AR27" s="40"/>
      <c r="AS27" s="41"/>
      <c r="AT27" s="40"/>
      <c r="AU27" s="41"/>
      <c r="AV27" s="42"/>
      <c r="AW27" s="43">
        <f t="shared" si="20"/>
        <v>220.5</v>
      </c>
      <c r="AX27" s="86">
        <v>1</v>
      </c>
      <c r="AY27" s="87">
        <f>110*0.7*1.5</f>
        <v>115.5</v>
      </c>
      <c r="AZ27" s="41"/>
      <c r="BA27" s="40"/>
      <c r="BB27" s="41">
        <v>2</v>
      </c>
      <c r="BC27" s="40">
        <f>60*0.7</f>
        <v>42</v>
      </c>
      <c r="BD27" s="86">
        <v>2</v>
      </c>
      <c r="BE27" s="88">
        <f>60*0.7*1.5</f>
        <v>63</v>
      </c>
      <c r="BF27" s="43">
        <f t="shared" si="21"/>
        <v>0</v>
      </c>
      <c r="BG27" s="41"/>
      <c r="BH27" s="40"/>
      <c r="BI27" s="41"/>
      <c r="BJ27" s="40"/>
      <c r="BK27" s="41"/>
      <c r="BL27" s="40"/>
      <c r="BM27" s="41"/>
      <c r="BN27" s="40"/>
      <c r="BO27" s="41"/>
      <c r="BP27" s="42"/>
      <c r="BQ27" s="43">
        <f>BS27+BU27+BW27+BY27</f>
        <v>0</v>
      </c>
      <c r="BR27" s="41"/>
      <c r="BS27" s="40"/>
      <c r="BT27" s="41"/>
      <c r="BU27" s="40"/>
      <c r="BV27" s="41"/>
      <c r="BW27" s="40"/>
      <c r="BX27" s="41"/>
      <c r="BY27" s="42"/>
      <c r="BZ27" s="43">
        <f t="shared" si="16"/>
        <v>0</v>
      </c>
      <c r="CA27" s="106"/>
      <c r="CB27" s="102"/>
      <c r="CC27" s="41"/>
      <c r="CD27" s="40"/>
      <c r="CE27" s="41"/>
      <c r="CF27" s="40"/>
      <c r="CG27" s="41"/>
      <c r="CH27" s="40"/>
      <c r="CI27" s="41"/>
      <c r="CJ27" s="42"/>
      <c r="CK27" s="43">
        <f t="shared" si="17"/>
        <v>0</v>
      </c>
      <c r="CL27" s="41"/>
      <c r="CM27" s="40"/>
      <c r="CN27" s="41"/>
      <c r="CO27" s="40"/>
      <c r="CP27" s="41"/>
      <c r="CQ27" s="40"/>
      <c r="CR27" s="41"/>
      <c r="CS27" s="42"/>
      <c r="CT27" s="43">
        <f t="shared" si="18"/>
        <v>0</v>
      </c>
      <c r="CU27" s="41"/>
      <c r="CV27" s="40"/>
      <c r="CW27" s="40"/>
      <c r="CX27" s="40"/>
      <c r="CY27" s="40"/>
      <c r="CZ27" s="40"/>
      <c r="DA27" s="41"/>
      <c r="DB27" s="42"/>
      <c r="DC27" s="43">
        <f t="shared" si="13"/>
        <v>0</v>
      </c>
      <c r="DD27" s="41"/>
      <c r="DE27" s="40"/>
      <c r="DF27" s="40"/>
      <c r="DG27" s="40"/>
      <c r="DH27" s="40"/>
      <c r="DI27" s="40"/>
      <c r="DJ27" s="41"/>
      <c r="DK27" s="42"/>
    </row>
    <row r="28" spans="1:115" s="1" customFormat="1" ht="15" hidden="1" customHeight="1" x14ac:dyDescent="0.3">
      <c r="A28" s="2">
        <f t="shared" si="0"/>
        <v>12</v>
      </c>
      <c r="B28" s="14">
        <v>2632</v>
      </c>
      <c r="C28" s="5" t="s">
        <v>27</v>
      </c>
      <c r="D28" s="15">
        <v>2001</v>
      </c>
      <c r="E28" s="16">
        <f t="shared" si="12"/>
        <v>217.85</v>
      </c>
      <c r="F28" s="37" t="s">
        <v>151</v>
      </c>
      <c r="G28" s="37"/>
      <c r="H28" s="37" t="s">
        <v>152</v>
      </c>
      <c r="I28" s="37" t="s">
        <v>192</v>
      </c>
      <c r="J28" s="38">
        <f>L28+N28</f>
        <v>0</v>
      </c>
      <c r="K28" s="39"/>
      <c r="L28" s="40"/>
      <c r="M28" s="41"/>
      <c r="N28" s="42"/>
      <c r="O28" s="38">
        <f t="shared" si="14"/>
        <v>77</v>
      </c>
      <c r="P28" s="39">
        <v>1</v>
      </c>
      <c r="Q28" s="42">
        <f>110*0.7</f>
        <v>77</v>
      </c>
      <c r="R28" s="43">
        <f>T28+V28+X28+Z28+AB28</f>
        <v>140.85</v>
      </c>
      <c r="S28" s="74">
        <v>7</v>
      </c>
      <c r="T28" s="75">
        <f>25*0.9*1.5</f>
        <v>33.75</v>
      </c>
      <c r="U28" s="44"/>
      <c r="V28" s="45"/>
      <c r="W28" s="44"/>
      <c r="X28" s="45"/>
      <c r="Y28" s="74">
        <v>5</v>
      </c>
      <c r="Z28" s="75">
        <f>26*0.9*1.5</f>
        <v>35.1</v>
      </c>
      <c r="AA28" s="44">
        <v>2</v>
      </c>
      <c r="AB28" s="78">
        <f>80*0.9</f>
        <v>72</v>
      </c>
      <c r="AC28" s="82">
        <f t="shared" si="15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>
        <f>AP28+AR28+AT28+AV28</f>
        <v>0</v>
      </c>
      <c r="AO28" s="41"/>
      <c r="AP28" s="40"/>
      <c r="AQ28" s="41"/>
      <c r="AR28" s="40"/>
      <c r="AS28" s="41"/>
      <c r="AT28" s="40"/>
      <c r="AU28" s="41"/>
      <c r="AV28" s="42"/>
      <c r="AW28" s="43">
        <f t="shared" si="20"/>
        <v>0</v>
      </c>
      <c r="AX28" s="41"/>
      <c r="AY28" s="40"/>
      <c r="AZ28" s="41"/>
      <c r="BA28" s="40"/>
      <c r="BB28" s="41"/>
      <c r="BC28" s="40"/>
      <c r="BD28" s="41"/>
      <c r="BE28" s="42"/>
      <c r="BF28" s="43">
        <f t="shared" si="21"/>
        <v>0</v>
      </c>
      <c r="BG28" s="41"/>
      <c r="BH28" s="40"/>
      <c r="BI28" s="41"/>
      <c r="BJ28" s="40"/>
      <c r="BK28" s="41"/>
      <c r="BL28" s="40"/>
      <c r="BM28" s="41"/>
      <c r="BN28" s="40"/>
      <c r="BO28" s="41"/>
      <c r="BP28" s="42"/>
      <c r="BQ28" s="43">
        <f>BS28+BU28+BW28+BY28</f>
        <v>0</v>
      </c>
      <c r="BR28" s="41"/>
      <c r="BS28" s="40"/>
      <c r="BT28" s="41"/>
      <c r="BU28" s="40"/>
      <c r="BV28" s="41"/>
      <c r="BW28" s="40"/>
      <c r="BX28" s="41"/>
      <c r="BY28" s="42"/>
      <c r="BZ28" s="43">
        <f t="shared" si="16"/>
        <v>0</v>
      </c>
      <c r="CA28" s="106"/>
      <c r="CB28" s="102"/>
      <c r="CC28" s="41"/>
      <c r="CD28" s="40"/>
      <c r="CE28" s="41"/>
      <c r="CF28" s="40"/>
      <c r="CG28" s="41"/>
      <c r="CH28" s="40"/>
      <c r="CI28" s="41"/>
      <c r="CJ28" s="42"/>
      <c r="CK28" s="43">
        <f t="shared" si="17"/>
        <v>0</v>
      </c>
      <c r="CL28" s="41"/>
      <c r="CM28" s="40"/>
      <c r="CN28" s="41"/>
      <c r="CO28" s="40"/>
      <c r="CP28" s="41"/>
      <c r="CQ28" s="40"/>
      <c r="CR28" s="41"/>
      <c r="CS28" s="42"/>
      <c r="CT28" s="43">
        <f t="shared" si="18"/>
        <v>0</v>
      </c>
      <c r="CU28" s="41"/>
      <c r="CV28" s="40"/>
      <c r="CW28" s="40"/>
      <c r="CX28" s="40"/>
      <c r="CY28" s="40"/>
      <c r="CZ28" s="40"/>
      <c r="DA28" s="41"/>
      <c r="DB28" s="42"/>
      <c r="DC28" s="43">
        <f t="shared" si="13"/>
        <v>0</v>
      </c>
      <c r="DD28" s="41"/>
      <c r="DE28" s="40"/>
      <c r="DF28" s="40"/>
      <c r="DG28" s="40"/>
      <c r="DH28" s="40"/>
      <c r="DI28" s="40"/>
      <c r="DJ28" s="41"/>
      <c r="DK28" s="42"/>
    </row>
    <row r="29" spans="1:115" s="1" customFormat="1" ht="15" hidden="1" customHeight="1" x14ac:dyDescent="0.3">
      <c r="A29" s="2">
        <f t="shared" si="0"/>
        <v>13</v>
      </c>
      <c r="B29" s="14">
        <v>5060</v>
      </c>
      <c r="C29" s="5" t="s">
        <v>53</v>
      </c>
      <c r="D29" s="15">
        <v>2006</v>
      </c>
      <c r="E29" s="16">
        <f t="shared" si="12"/>
        <v>176.6</v>
      </c>
      <c r="F29" s="37" t="s">
        <v>148</v>
      </c>
      <c r="G29" s="37"/>
      <c r="H29" s="37" t="s">
        <v>150</v>
      </c>
      <c r="I29" s="37" t="s">
        <v>207</v>
      </c>
      <c r="J29" s="38">
        <f>L29+N29</f>
        <v>0</v>
      </c>
      <c r="K29" s="39"/>
      <c r="L29" s="40"/>
      <c r="M29" s="41"/>
      <c r="N29" s="42"/>
      <c r="O29" s="38">
        <f t="shared" si="14"/>
        <v>0</v>
      </c>
      <c r="P29" s="39"/>
      <c r="Q29" s="42"/>
      <c r="R29" s="43">
        <f>T29+V29+X29+Z29+AB29</f>
        <v>0</v>
      </c>
      <c r="S29" s="96"/>
      <c r="T29" s="45"/>
      <c r="U29" s="96"/>
      <c r="V29" s="45"/>
      <c r="W29" s="44"/>
      <c r="X29" s="45"/>
      <c r="Y29" s="44"/>
      <c r="Z29" s="45"/>
      <c r="AA29" s="44"/>
      <c r="AB29" s="78"/>
      <c r="AC29" s="82">
        <f t="shared" si="15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>
        <f>AP29+AR29+AV29</f>
        <v>102</v>
      </c>
      <c r="AO29" s="41"/>
      <c r="AP29" s="40"/>
      <c r="AQ29" s="41">
        <v>3</v>
      </c>
      <c r="AR29" s="40">
        <f>60*0.8</f>
        <v>48</v>
      </c>
      <c r="AS29" s="35">
        <v>4</v>
      </c>
      <c r="AT29" s="34">
        <f>30*0.8</f>
        <v>24</v>
      </c>
      <c r="AU29" s="86">
        <v>3</v>
      </c>
      <c r="AV29" s="88">
        <f>45*0.8*1.5</f>
        <v>54</v>
      </c>
      <c r="AW29" s="43">
        <f t="shared" si="20"/>
        <v>0</v>
      </c>
      <c r="AX29" s="41"/>
      <c r="AY29" s="40"/>
      <c r="AZ29" s="41"/>
      <c r="BA29" s="40"/>
      <c r="BB29" s="41"/>
      <c r="BC29" s="40"/>
      <c r="BD29" s="41"/>
      <c r="BE29" s="42"/>
      <c r="BF29" s="43">
        <f t="shared" si="21"/>
        <v>33</v>
      </c>
      <c r="BG29" s="41"/>
      <c r="BH29" s="40"/>
      <c r="BI29" s="41"/>
      <c r="BJ29" s="40"/>
      <c r="BK29" s="41"/>
      <c r="BL29" s="40"/>
      <c r="BM29" s="41"/>
      <c r="BN29" s="40"/>
      <c r="BO29" s="86">
        <v>6</v>
      </c>
      <c r="BP29" s="88">
        <f>22*1.5</f>
        <v>33</v>
      </c>
      <c r="BQ29" s="43">
        <f>BS29+BU29+BW29</f>
        <v>41.6</v>
      </c>
      <c r="BR29" s="86">
        <v>8</v>
      </c>
      <c r="BS29" s="87">
        <f>20*0.8*1.5</f>
        <v>24</v>
      </c>
      <c r="BT29" s="41"/>
      <c r="BU29" s="40"/>
      <c r="BV29" s="41">
        <v>6</v>
      </c>
      <c r="BW29" s="40">
        <f>22*0.8</f>
        <v>17.600000000000001</v>
      </c>
      <c r="BX29" s="99">
        <v>8</v>
      </c>
      <c r="BY29" s="100" t="s">
        <v>110</v>
      </c>
      <c r="BZ29" s="43">
        <f t="shared" si="16"/>
        <v>0</v>
      </c>
      <c r="CA29" s="106"/>
      <c r="CB29" s="102"/>
      <c r="CC29" s="41"/>
      <c r="CD29" s="40"/>
      <c r="CE29" s="41"/>
      <c r="CF29" s="40"/>
      <c r="CG29" s="41"/>
      <c r="CH29" s="40"/>
      <c r="CI29" s="90"/>
      <c r="CJ29" s="98"/>
      <c r="CK29" s="43">
        <f t="shared" si="17"/>
        <v>0</v>
      </c>
      <c r="CL29" s="41"/>
      <c r="CM29" s="40"/>
      <c r="CN29" s="41"/>
      <c r="CO29" s="40"/>
      <c r="CP29" s="41"/>
      <c r="CQ29" s="40"/>
      <c r="CR29" s="90"/>
      <c r="CS29" s="98"/>
      <c r="CT29" s="43">
        <f t="shared" si="18"/>
        <v>0</v>
      </c>
      <c r="CU29" s="41"/>
      <c r="CV29" s="40"/>
      <c r="CW29" s="40"/>
      <c r="CX29" s="40"/>
      <c r="CY29" s="40"/>
      <c r="CZ29" s="40"/>
      <c r="DA29" s="90"/>
      <c r="DB29" s="98"/>
      <c r="DC29" s="43">
        <f t="shared" si="13"/>
        <v>0</v>
      </c>
      <c r="DD29" s="41"/>
      <c r="DE29" s="40"/>
      <c r="DF29" s="40"/>
      <c r="DG29" s="40"/>
      <c r="DH29" s="40"/>
      <c r="DI29" s="40"/>
      <c r="DJ29" s="90"/>
      <c r="DK29" s="98"/>
    </row>
    <row r="30" spans="1:115" s="1" customFormat="1" ht="15" hidden="1" customHeight="1" x14ac:dyDescent="0.3">
      <c r="A30" s="2">
        <f t="shared" si="0"/>
        <v>14</v>
      </c>
      <c r="B30" s="14">
        <v>6745</v>
      </c>
      <c r="C30" s="5" t="s">
        <v>9</v>
      </c>
      <c r="D30" s="15">
        <v>2008</v>
      </c>
      <c r="E30" s="16">
        <f t="shared" si="12"/>
        <v>167</v>
      </c>
      <c r="F30" s="37" t="s">
        <v>153</v>
      </c>
      <c r="G30" s="37"/>
      <c r="H30" s="37" t="s">
        <v>189</v>
      </c>
      <c r="I30" s="37" t="s">
        <v>190</v>
      </c>
      <c r="J30" s="38">
        <f>L30</f>
        <v>12</v>
      </c>
      <c r="K30" s="39">
        <v>6</v>
      </c>
      <c r="L30" s="40">
        <f>30*0.4</f>
        <v>12</v>
      </c>
      <c r="M30" s="35">
        <v>8</v>
      </c>
      <c r="N30" s="36">
        <f>20*0.4</f>
        <v>8</v>
      </c>
      <c r="O30" s="38">
        <f t="shared" si="14"/>
        <v>14</v>
      </c>
      <c r="P30" s="39">
        <v>8</v>
      </c>
      <c r="Q30" s="42">
        <f>20*0.7</f>
        <v>14</v>
      </c>
      <c r="R30" s="43">
        <f>T30+V30+Z30+AB30</f>
        <v>36</v>
      </c>
      <c r="S30" s="44"/>
      <c r="T30" s="45"/>
      <c r="U30" s="44"/>
      <c r="V30" s="45"/>
      <c r="W30" s="31">
        <v>7</v>
      </c>
      <c r="X30" s="31" t="s">
        <v>110</v>
      </c>
      <c r="Y30" s="44"/>
      <c r="Z30" s="45"/>
      <c r="AA30" s="44">
        <v>4</v>
      </c>
      <c r="AB30" s="78">
        <f>40*0.9</f>
        <v>36</v>
      </c>
      <c r="AC30" s="82">
        <f t="shared" si="15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 t="shared" ref="AN30:AN35" si="22"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>
        <f>AY30+BC30+BE30</f>
        <v>105</v>
      </c>
      <c r="AX30" s="86">
        <v>7</v>
      </c>
      <c r="AY30" s="87">
        <f>25*0.7*1.5</f>
        <v>26.25</v>
      </c>
      <c r="AZ30" s="35">
        <v>5</v>
      </c>
      <c r="BA30" s="34">
        <f>35*0.7</f>
        <v>24.5</v>
      </c>
      <c r="BB30" s="41">
        <v>3</v>
      </c>
      <c r="BC30" s="40">
        <f>45*0.7</f>
        <v>31.499999999999996</v>
      </c>
      <c r="BD30" s="86">
        <v>3</v>
      </c>
      <c r="BE30" s="88">
        <f>45*0.7*1.5</f>
        <v>47.249999999999993</v>
      </c>
      <c r="BF30" s="43">
        <f t="shared" si="21"/>
        <v>0</v>
      </c>
      <c r="BG30" s="41"/>
      <c r="BH30" s="40"/>
      <c r="BI30" s="41"/>
      <c r="BJ30" s="40"/>
      <c r="BK30" s="41"/>
      <c r="BL30" s="40"/>
      <c r="BM30" s="41"/>
      <c r="BN30" s="40"/>
      <c r="BO30" s="41"/>
      <c r="BP30" s="42"/>
      <c r="BQ30" s="43">
        <f>BS30+BU30+BW30+BY30</f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 t="shared" si="16"/>
        <v>0</v>
      </c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>
        <f t="shared" si="17"/>
        <v>0</v>
      </c>
      <c r="CL30" s="41"/>
      <c r="CM30" s="40"/>
      <c r="CN30" s="41"/>
      <c r="CO30" s="40"/>
      <c r="CP30" s="41"/>
      <c r="CQ30" s="40"/>
      <c r="CR30" s="41"/>
      <c r="CS30" s="42"/>
      <c r="CT30" s="43">
        <f t="shared" si="18"/>
        <v>0</v>
      </c>
      <c r="CU30" s="41"/>
      <c r="CV30" s="40"/>
      <c r="CW30" s="40"/>
      <c r="CX30" s="40"/>
      <c r="CY30" s="40"/>
      <c r="CZ30" s="40"/>
      <c r="DA30" s="41"/>
      <c r="DB30" s="42"/>
      <c r="DC30" s="43">
        <f t="shared" si="13"/>
        <v>0</v>
      </c>
      <c r="DD30" s="41"/>
      <c r="DE30" s="40"/>
      <c r="DF30" s="40"/>
      <c r="DG30" s="40"/>
      <c r="DH30" s="40"/>
      <c r="DI30" s="40"/>
      <c r="DJ30" s="41"/>
      <c r="DK30" s="42"/>
    </row>
    <row r="31" spans="1:115" s="1" customFormat="1" ht="15" hidden="1" customHeight="1" x14ac:dyDescent="0.3">
      <c r="A31" s="2">
        <f t="shared" si="0"/>
        <v>15</v>
      </c>
      <c r="B31" s="14">
        <v>609</v>
      </c>
      <c r="C31" s="5" t="s">
        <v>15</v>
      </c>
      <c r="D31" s="15">
        <v>1990</v>
      </c>
      <c r="E31" s="16">
        <f t="shared" si="12"/>
        <v>160.30000000000001</v>
      </c>
      <c r="F31" s="37" t="s">
        <v>151</v>
      </c>
      <c r="G31" s="37"/>
      <c r="H31" s="37" t="s">
        <v>173</v>
      </c>
      <c r="I31" s="37" t="s">
        <v>193</v>
      </c>
      <c r="J31" s="38">
        <f>L31+N31</f>
        <v>0</v>
      </c>
      <c r="K31" s="39"/>
      <c r="L31" s="40"/>
      <c r="M31" s="41"/>
      <c r="N31" s="42"/>
      <c r="O31" s="38">
        <f t="shared" si="14"/>
        <v>0</v>
      </c>
      <c r="P31" s="39"/>
      <c r="Q31" s="42"/>
      <c r="R31" s="43">
        <f>T31+V31+X31+Z31+AB31</f>
        <v>60.3</v>
      </c>
      <c r="S31" s="44"/>
      <c r="T31" s="45"/>
      <c r="U31" s="44"/>
      <c r="V31" s="45"/>
      <c r="W31" s="44">
        <v>6</v>
      </c>
      <c r="X31" s="45">
        <f>22*0.9</f>
        <v>19.8</v>
      </c>
      <c r="Y31" s="74">
        <v>4</v>
      </c>
      <c r="Z31" s="75">
        <f>30*0.9*1.5</f>
        <v>40.5</v>
      </c>
      <c r="AA31" s="44"/>
      <c r="AB31" s="78"/>
      <c r="AC31" s="82">
        <f t="shared" si="15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>
        <f t="shared" si="22"/>
        <v>0</v>
      </c>
      <c r="AO31" s="41"/>
      <c r="AP31" s="40"/>
      <c r="AQ31" s="41"/>
      <c r="AR31" s="40"/>
      <c r="AS31" s="41"/>
      <c r="AT31" s="40"/>
      <c r="AU31" s="41"/>
      <c r="AV31" s="42"/>
      <c r="AW31" s="43">
        <f>AY31+BA31+BC31+BE31</f>
        <v>0</v>
      </c>
      <c r="AX31" s="41"/>
      <c r="AY31" s="40"/>
      <c r="AZ31" s="41"/>
      <c r="BA31" s="40"/>
      <c r="BB31" s="41"/>
      <c r="BC31" s="40"/>
      <c r="BD31" s="41"/>
      <c r="BE31" s="42"/>
      <c r="BF31" s="43">
        <f t="shared" si="21"/>
        <v>100</v>
      </c>
      <c r="BG31" s="86">
        <v>4</v>
      </c>
      <c r="BH31" s="87">
        <f>40*1.5</f>
        <v>60</v>
      </c>
      <c r="BI31" s="41"/>
      <c r="BJ31" s="40"/>
      <c r="BK31" s="41">
        <v>4</v>
      </c>
      <c r="BL31" s="40">
        <f>40</f>
        <v>40</v>
      </c>
      <c r="BM31" s="41"/>
      <c r="BN31" s="40"/>
      <c r="BO31" s="41"/>
      <c r="BP31" s="42"/>
      <c r="BQ31" s="43">
        <f>BS31+BU31+BW31+BY31</f>
        <v>0</v>
      </c>
      <c r="BR31" s="41"/>
      <c r="BS31" s="40"/>
      <c r="BT31" s="41"/>
      <c r="BU31" s="40"/>
      <c r="BV31" s="41"/>
      <c r="BW31" s="40"/>
      <c r="BX31" s="41"/>
      <c r="BY31" s="42"/>
      <c r="BZ31" s="43">
        <f t="shared" si="16"/>
        <v>0</v>
      </c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43">
        <f t="shared" si="17"/>
        <v>0</v>
      </c>
      <c r="CL31" s="41"/>
      <c r="CM31" s="40"/>
      <c r="CN31" s="41"/>
      <c r="CO31" s="40"/>
      <c r="CP31" s="41"/>
      <c r="CQ31" s="40"/>
      <c r="CR31" s="41"/>
      <c r="CS31" s="42"/>
      <c r="CT31" s="43">
        <f t="shared" si="18"/>
        <v>0</v>
      </c>
      <c r="CU31" s="41"/>
      <c r="CV31" s="40"/>
      <c r="CW31" s="40"/>
      <c r="CX31" s="40"/>
      <c r="CY31" s="40"/>
      <c r="CZ31" s="40"/>
      <c r="DA31" s="41"/>
      <c r="DB31" s="42"/>
      <c r="DC31" s="43">
        <f t="shared" si="13"/>
        <v>0</v>
      </c>
      <c r="DD31" s="41"/>
      <c r="DE31" s="40"/>
      <c r="DF31" s="40"/>
      <c r="DG31" s="40"/>
      <c r="DH31" s="40"/>
      <c r="DI31" s="40"/>
      <c r="DJ31" s="41"/>
      <c r="DK31" s="42"/>
    </row>
    <row r="32" spans="1:115" s="1" customFormat="1" ht="15" hidden="1" customHeight="1" x14ac:dyDescent="0.3">
      <c r="A32" s="2">
        <f t="shared" si="0"/>
        <v>16</v>
      </c>
      <c r="B32" s="14">
        <v>5620</v>
      </c>
      <c r="C32" s="5" t="s">
        <v>38</v>
      </c>
      <c r="D32" s="15">
        <v>2007</v>
      </c>
      <c r="E32" s="16">
        <f t="shared" si="12"/>
        <v>156.75</v>
      </c>
      <c r="F32" s="37" t="s">
        <v>148</v>
      </c>
      <c r="G32" s="37"/>
      <c r="H32" s="37" t="s">
        <v>186</v>
      </c>
      <c r="I32" s="37" t="s">
        <v>187</v>
      </c>
      <c r="J32" s="38">
        <f>L32</f>
        <v>14</v>
      </c>
      <c r="K32" s="39">
        <v>5</v>
      </c>
      <c r="L32" s="40">
        <f>35*0.4</f>
        <v>14</v>
      </c>
      <c r="M32" s="35">
        <v>6</v>
      </c>
      <c r="N32" s="36">
        <f>30*0.4</f>
        <v>12</v>
      </c>
      <c r="O32" s="38">
        <f t="shared" si="14"/>
        <v>0</v>
      </c>
      <c r="P32" s="39"/>
      <c r="Q32" s="42"/>
      <c r="R32" s="43">
        <f>T32+V32+X32+Z32+AB32</f>
        <v>0</v>
      </c>
      <c r="S32" s="44"/>
      <c r="T32" s="45"/>
      <c r="U32" s="44"/>
      <c r="V32" s="45"/>
      <c r="W32" s="44"/>
      <c r="X32" s="45"/>
      <c r="Y32" s="44"/>
      <c r="Z32" s="45"/>
      <c r="AA32" s="44"/>
      <c r="AB32" s="78"/>
      <c r="AC32" s="82">
        <f t="shared" si="15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>
        <f t="shared" si="22"/>
        <v>0</v>
      </c>
      <c r="AO32" s="41"/>
      <c r="AP32" s="40"/>
      <c r="AQ32" s="41"/>
      <c r="AR32" s="40"/>
      <c r="AS32" s="41"/>
      <c r="AT32" s="40"/>
      <c r="AU32" s="41"/>
      <c r="AV32" s="42"/>
      <c r="AW32" s="43">
        <f>AY32+BA32+BE32</f>
        <v>96.25</v>
      </c>
      <c r="AX32" s="86">
        <v>5</v>
      </c>
      <c r="AY32" s="87">
        <f>35*0.7*1.5</f>
        <v>36.75</v>
      </c>
      <c r="AZ32" s="41">
        <v>4</v>
      </c>
      <c r="BA32" s="40">
        <f>40*0.7</f>
        <v>28</v>
      </c>
      <c r="BB32" s="35">
        <v>4</v>
      </c>
      <c r="BC32" s="34">
        <f>30*0.7</f>
        <v>21</v>
      </c>
      <c r="BD32" s="86">
        <v>4</v>
      </c>
      <c r="BE32" s="88">
        <f>30*0.7*1.5</f>
        <v>31.5</v>
      </c>
      <c r="BF32" s="43">
        <f t="shared" si="21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>
        <f>BS32+BU32</f>
        <v>24</v>
      </c>
      <c r="BR32" s="41"/>
      <c r="BS32" s="40"/>
      <c r="BT32" s="41">
        <v>6</v>
      </c>
      <c r="BU32" s="40">
        <f>30*0.8</f>
        <v>24</v>
      </c>
      <c r="BV32" s="35">
        <v>6</v>
      </c>
      <c r="BW32" s="34">
        <f>22*0.8</f>
        <v>17.600000000000001</v>
      </c>
      <c r="BX32" s="99">
        <v>8</v>
      </c>
      <c r="BY32" s="100" t="s">
        <v>110</v>
      </c>
      <c r="BZ32" s="43">
        <f t="shared" si="16"/>
        <v>0</v>
      </c>
      <c r="CA32" s="106"/>
      <c r="CB32" s="102"/>
      <c r="CC32" s="41"/>
      <c r="CD32" s="40"/>
      <c r="CE32" s="41"/>
      <c r="CF32" s="40"/>
      <c r="CG32" s="41"/>
      <c r="CH32" s="40"/>
      <c r="CI32" s="90"/>
      <c r="CJ32" s="98"/>
      <c r="CK32" s="43">
        <f t="shared" si="17"/>
        <v>22.5</v>
      </c>
      <c r="CL32" s="41"/>
      <c r="CM32" s="40"/>
      <c r="CN32" s="41"/>
      <c r="CO32" s="40"/>
      <c r="CP32" s="41"/>
      <c r="CQ32" s="40"/>
      <c r="CR32" s="41">
        <v>6</v>
      </c>
      <c r="CS32" s="42">
        <f>15*1.5</f>
        <v>22.5</v>
      </c>
      <c r="CT32" s="43">
        <f t="shared" si="18"/>
        <v>0</v>
      </c>
      <c r="CU32" s="41"/>
      <c r="CV32" s="40"/>
      <c r="CW32" s="40"/>
      <c r="CX32" s="40"/>
      <c r="CY32" s="40"/>
      <c r="CZ32" s="40"/>
      <c r="DA32" s="41"/>
      <c r="DB32" s="42"/>
      <c r="DC32" s="43">
        <f t="shared" si="13"/>
        <v>0</v>
      </c>
      <c r="DD32" s="41"/>
      <c r="DE32" s="40"/>
      <c r="DF32" s="40"/>
      <c r="DG32" s="40"/>
      <c r="DH32" s="40"/>
      <c r="DI32" s="40"/>
      <c r="DJ32" s="41"/>
      <c r="DK32" s="42"/>
    </row>
    <row r="33" spans="1:115" s="1" customFormat="1" ht="15" hidden="1" customHeight="1" x14ac:dyDescent="0.3">
      <c r="A33" s="2">
        <f t="shared" si="0"/>
        <v>17</v>
      </c>
      <c r="B33" s="14">
        <v>5316</v>
      </c>
      <c r="C33" s="5" t="s">
        <v>32</v>
      </c>
      <c r="D33" s="15">
        <v>2006</v>
      </c>
      <c r="E33" s="16">
        <f t="shared" si="12"/>
        <v>131.44999999999999</v>
      </c>
      <c r="F33" s="37" t="s">
        <v>158</v>
      </c>
      <c r="G33" s="37"/>
      <c r="H33" s="37" t="s">
        <v>159</v>
      </c>
      <c r="I33" s="37" t="s">
        <v>198</v>
      </c>
      <c r="J33" s="38">
        <f>L33+N33</f>
        <v>0</v>
      </c>
      <c r="K33" s="39"/>
      <c r="L33" s="40"/>
      <c r="M33" s="41"/>
      <c r="N33" s="42"/>
      <c r="O33" s="38">
        <f t="shared" si="14"/>
        <v>7</v>
      </c>
      <c r="P33" s="39">
        <v>9</v>
      </c>
      <c r="Q33" s="42">
        <f>10*0.7</f>
        <v>7</v>
      </c>
      <c r="R33" s="43">
        <f>T33+V33+X33+Z33+AB33</f>
        <v>20.25</v>
      </c>
      <c r="S33" s="44"/>
      <c r="T33" s="45"/>
      <c r="U33" s="44"/>
      <c r="V33" s="45"/>
      <c r="W33" s="44"/>
      <c r="X33" s="45"/>
      <c r="Y33" s="74">
        <v>8</v>
      </c>
      <c r="Z33" s="75">
        <f>15*0.9*1.5</f>
        <v>20.25</v>
      </c>
      <c r="AA33" s="44"/>
      <c r="AB33" s="78"/>
      <c r="AC33" s="82">
        <f t="shared" si="15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>
        <f t="shared" si="22"/>
        <v>71.2</v>
      </c>
      <c r="AO33" s="86">
        <v>9</v>
      </c>
      <c r="AP33" s="87">
        <f>10*0.8*1.5</f>
        <v>12</v>
      </c>
      <c r="AQ33" s="41">
        <v>5</v>
      </c>
      <c r="AR33" s="40">
        <f>35*0.8</f>
        <v>28</v>
      </c>
      <c r="AS33" s="41"/>
      <c r="AT33" s="40"/>
      <c r="AU33" s="86">
        <v>5</v>
      </c>
      <c r="AV33" s="88">
        <f>26*0.8*1.5</f>
        <v>31.200000000000003</v>
      </c>
      <c r="AW33" s="43">
        <f>AY33+BA33+BC33+BE33</f>
        <v>0</v>
      </c>
      <c r="AX33" s="41"/>
      <c r="AY33" s="40"/>
      <c r="AZ33" s="41"/>
      <c r="BA33" s="40"/>
      <c r="BB33" s="41"/>
      <c r="BC33" s="40"/>
      <c r="BD33" s="41"/>
      <c r="BE33" s="42"/>
      <c r="BF33" s="43">
        <f t="shared" si="21"/>
        <v>33</v>
      </c>
      <c r="BG33" s="41"/>
      <c r="BH33" s="40"/>
      <c r="BI33" s="41"/>
      <c r="BJ33" s="40"/>
      <c r="BK33" s="41"/>
      <c r="BL33" s="40"/>
      <c r="BM33" s="41"/>
      <c r="BN33" s="40"/>
      <c r="BO33" s="86">
        <v>6</v>
      </c>
      <c r="BP33" s="88">
        <f>22*1.5</f>
        <v>33</v>
      </c>
      <c r="BQ33" s="43">
        <f>BS33+BU33</f>
        <v>0</v>
      </c>
      <c r="BR33" s="41"/>
      <c r="BS33" s="40"/>
      <c r="BT33" s="41"/>
      <c r="BU33" s="40"/>
      <c r="BV33" s="35">
        <v>9</v>
      </c>
      <c r="BW33" s="35" t="s">
        <v>110</v>
      </c>
      <c r="BX33" s="99">
        <v>9</v>
      </c>
      <c r="BY33" s="100" t="s">
        <v>110</v>
      </c>
      <c r="BZ33" s="43">
        <f t="shared" si="16"/>
        <v>0</v>
      </c>
      <c r="CA33" s="106"/>
      <c r="CB33" s="102"/>
      <c r="CC33" s="41"/>
      <c r="CD33" s="40"/>
      <c r="CE33" s="41"/>
      <c r="CF33" s="40"/>
      <c r="CG33" s="41"/>
      <c r="CH33" s="41"/>
      <c r="CI33" s="90"/>
      <c r="CJ33" s="98"/>
      <c r="CK33" s="43">
        <f t="shared" si="17"/>
        <v>0</v>
      </c>
      <c r="CL33" s="41"/>
      <c r="CM33" s="40"/>
      <c r="CN33" s="41"/>
      <c r="CO33" s="40"/>
      <c r="CP33" s="41"/>
      <c r="CQ33" s="41"/>
      <c r="CR33" s="90"/>
      <c r="CS33" s="98"/>
      <c r="CT33" s="43">
        <f t="shared" si="18"/>
        <v>0</v>
      </c>
      <c r="CU33" s="41"/>
      <c r="CV33" s="40"/>
      <c r="CW33" s="40"/>
      <c r="CX33" s="40"/>
      <c r="CY33" s="40"/>
      <c r="CZ33" s="40"/>
      <c r="DA33" s="90"/>
      <c r="DB33" s="98"/>
      <c r="DC33" s="43">
        <f t="shared" si="13"/>
        <v>0</v>
      </c>
      <c r="DD33" s="41"/>
      <c r="DE33" s="40"/>
      <c r="DF33" s="40"/>
      <c r="DG33" s="40"/>
      <c r="DH33" s="40"/>
      <c r="DI33" s="40"/>
      <c r="DJ33" s="90"/>
      <c r="DK33" s="98"/>
    </row>
    <row r="34" spans="1:115" s="1" customFormat="1" ht="15" hidden="1" customHeight="1" x14ac:dyDescent="0.3">
      <c r="A34" s="2">
        <f t="shared" si="0"/>
        <v>18</v>
      </c>
      <c r="B34" s="14">
        <v>5219</v>
      </c>
      <c r="C34" s="5" t="s">
        <v>24</v>
      </c>
      <c r="D34" s="15">
        <v>2006</v>
      </c>
      <c r="E34" s="16">
        <f t="shared" si="12"/>
        <v>128.4</v>
      </c>
      <c r="F34" s="37" t="s">
        <v>162</v>
      </c>
      <c r="G34" s="37"/>
      <c r="H34" s="37" t="s">
        <v>213</v>
      </c>
      <c r="I34" s="37"/>
      <c r="J34" s="38">
        <f>L34+N34</f>
        <v>0</v>
      </c>
      <c r="K34" s="39"/>
      <c r="L34" s="40"/>
      <c r="M34" s="41"/>
      <c r="N34" s="42"/>
      <c r="O34" s="38">
        <f t="shared" si="14"/>
        <v>0</v>
      </c>
      <c r="P34" s="39"/>
      <c r="Q34" s="42"/>
      <c r="R34" s="43">
        <f>T34+V34+X34+Z34+AB34</f>
        <v>0</v>
      </c>
      <c r="S34" s="44"/>
      <c r="T34" s="45"/>
      <c r="U34" s="44"/>
      <c r="V34" s="45"/>
      <c r="W34" s="44"/>
      <c r="X34" s="45"/>
      <c r="Y34" s="44"/>
      <c r="Z34" s="45"/>
      <c r="AA34" s="44"/>
      <c r="AB34" s="78"/>
      <c r="AC34" s="82">
        <f t="shared" si="15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>
        <f t="shared" si="22"/>
        <v>26.400000000000002</v>
      </c>
      <c r="AO34" s="41"/>
      <c r="AP34" s="40"/>
      <c r="AQ34" s="41"/>
      <c r="AR34" s="40"/>
      <c r="AS34" s="41"/>
      <c r="AT34" s="40"/>
      <c r="AU34" s="86">
        <v>6</v>
      </c>
      <c r="AV34" s="88">
        <f>22*0.8*1.5</f>
        <v>26.400000000000002</v>
      </c>
      <c r="AW34" s="43">
        <f>AY34+BA34+BC34+BE34</f>
        <v>0</v>
      </c>
      <c r="AX34" s="41"/>
      <c r="AY34" s="40"/>
      <c r="AZ34" s="41"/>
      <c r="BA34" s="40"/>
      <c r="BB34" s="41"/>
      <c r="BC34" s="40"/>
      <c r="BD34" s="41"/>
      <c r="BE34" s="42"/>
      <c r="BF34" s="43">
        <f t="shared" si="21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>
        <f t="shared" ref="BQ34:BQ41" si="23">BS34+BU34+BW34+BY34</f>
        <v>102</v>
      </c>
      <c r="BR34" s="86">
        <v>9</v>
      </c>
      <c r="BS34" s="87">
        <f>10*0.8*1.5</f>
        <v>12</v>
      </c>
      <c r="BT34" s="41"/>
      <c r="BU34" s="40"/>
      <c r="BV34" s="41">
        <v>3</v>
      </c>
      <c r="BW34" s="40">
        <f>45*0.8</f>
        <v>36</v>
      </c>
      <c r="BX34" s="86">
        <v>3</v>
      </c>
      <c r="BY34" s="88">
        <f>45*0.8*1.5</f>
        <v>54</v>
      </c>
      <c r="BZ34" s="43">
        <f t="shared" si="16"/>
        <v>0</v>
      </c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>
        <f t="shared" si="17"/>
        <v>0</v>
      </c>
      <c r="CL34" s="41"/>
      <c r="CM34" s="40"/>
      <c r="CN34" s="41"/>
      <c r="CO34" s="40"/>
      <c r="CP34" s="41"/>
      <c r="CQ34" s="40"/>
      <c r="CR34" s="41"/>
      <c r="CS34" s="42"/>
      <c r="CT34" s="43">
        <f t="shared" si="18"/>
        <v>0</v>
      </c>
      <c r="CU34" s="41"/>
      <c r="CV34" s="40"/>
      <c r="CW34" s="40"/>
      <c r="CX34" s="40"/>
      <c r="CY34" s="40"/>
      <c r="CZ34" s="40"/>
      <c r="DA34" s="41"/>
      <c r="DB34" s="42"/>
      <c r="DC34" s="43">
        <f t="shared" si="13"/>
        <v>0</v>
      </c>
      <c r="DD34" s="41"/>
      <c r="DE34" s="40"/>
      <c r="DF34" s="40"/>
      <c r="DG34" s="40"/>
      <c r="DH34" s="40"/>
      <c r="DI34" s="40"/>
      <c r="DJ34" s="41"/>
      <c r="DK34" s="42"/>
    </row>
    <row r="35" spans="1:115" s="1" customFormat="1" ht="15" hidden="1" customHeight="1" x14ac:dyDescent="0.3">
      <c r="A35" s="2">
        <f t="shared" si="0"/>
        <v>19</v>
      </c>
      <c r="B35" s="14">
        <v>5947</v>
      </c>
      <c r="C35" s="5" t="s">
        <v>59</v>
      </c>
      <c r="D35" s="15">
        <v>2007</v>
      </c>
      <c r="E35" s="16">
        <f t="shared" si="12"/>
        <v>122.5</v>
      </c>
      <c r="F35" s="37" t="s">
        <v>156</v>
      </c>
      <c r="G35" s="37"/>
      <c r="H35" s="37" t="s">
        <v>178</v>
      </c>
      <c r="I35" s="37"/>
      <c r="J35" s="38">
        <f>N35</f>
        <v>16</v>
      </c>
      <c r="K35" s="33">
        <v>7</v>
      </c>
      <c r="L35" s="34">
        <f>25*0.4</f>
        <v>10</v>
      </c>
      <c r="M35" s="41">
        <v>4</v>
      </c>
      <c r="N35" s="42">
        <f>40*0.4</f>
        <v>16</v>
      </c>
      <c r="O35" s="38">
        <f t="shared" si="14"/>
        <v>0</v>
      </c>
      <c r="P35" s="39"/>
      <c r="Q35" s="42"/>
      <c r="R35" s="43">
        <f>T35+V35+X35+Z35+AB35</f>
        <v>0</v>
      </c>
      <c r="S35" s="44"/>
      <c r="T35" s="45"/>
      <c r="U35" s="44"/>
      <c r="V35" s="45"/>
      <c r="W35" s="44"/>
      <c r="X35" s="45"/>
      <c r="Y35" s="44"/>
      <c r="Z35" s="45"/>
      <c r="AA35" s="44"/>
      <c r="AB35" s="78"/>
      <c r="AC35" s="82">
        <f t="shared" si="15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 t="shared" si="22"/>
        <v>0</v>
      </c>
      <c r="AO35" s="41"/>
      <c r="AP35" s="40"/>
      <c r="AQ35" s="41"/>
      <c r="AR35" s="40"/>
      <c r="AS35" s="41"/>
      <c r="AT35" s="40"/>
      <c r="AU35" s="41"/>
      <c r="AV35" s="42"/>
      <c r="AW35" s="43">
        <f>AY35+BC35+BE35</f>
        <v>84</v>
      </c>
      <c r="AX35" s="86">
        <v>6</v>
      </c>
      <c r="AY35" s="87">
        <f>30*0.7*1.5</f>
        <v>31.5</v>
      </c>
      <c r="AZ35" s="35">
        <v>6</v>
      </c>
      <c r="BA35" s="34">
        <f>30*0.7</f>
        <v>21</v>
      </c>
      <c r="BB35" s="41">
        <v>4</v>
      </c>
      <c r="BC35" s="40">
        <f>30*0.7</f>
        <v>21</v>
      </c>
      <c r="BD35" s="86">
        <v>4</v>
      </c>
      <c r="BE35" s="88">
        <f>30*0.7*1.5</f>
        <v>31.5</v>
      </c>
      <c r="BF35" s="43">
        <f t="shared" si="21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 t="shared" si="23"/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 t="shared" si="16"/>
        <v>0</v>
      </c>
      <c r="CA35" s="106"/>
      <c r="CB35" s="102"/>
      <c r="CC35" s="41"/>
      <c r="CD35" s="40"/>
      <c r="CE35" s="41"/>
      <c r="CF35" s="40"/>
      <c r="CG35" s="41"/>
      <c r="CH35" s="40"/>
      <c r="CI35" s="41"/>
      <c r="CJ35" s="42"/>
      <c r="CK35" s="43">
        <f t="shared" si="17"/>
        <v>22.5</v>
      </c>
      <c r="CL35" s="41"/>
      <c r="CM35" s="40"/>
      <c r="CN35" s="41"/>
      <c r="CO35" s="40"/>
      <c r="CP35" s="41"/>
      <c r="CQ35" s="40"/>
      <c r="CR35" s="41">
        <v>6</v>
      </c>
      <c r="CS35" s="42">
        <f>15*1.5</f>
        <v>22.5</v>
      </c>
      <c r="CT35" s="43">
        <f t="shared" si="18"/>
        <v>0</v>
      </c>
      <c r="CU35" s="41"/>
      <c r="CV35" s="40"/>
      <c r="CW35" s="40"/>
      <c r="CX35" s="40"/>
      <c r="CY35" s="40"/>
      <c r="CZ35" s="40"/>
      <c r="DA35" s="41"/>
      <c r="DB35" s="42"/>
      <c r="DC35" s="43">
        <f t="shared" si="13"/>
        <v>0</v>
      </c>
      <c r="DD35" s="41"/>
      <c r="DE35" s="40"/>
      <c r="DF35" s="40"/>
      <c r="DG35" s="40"/>
      <c r="DH35" s="40"/>
      <c r="DI35" s="40"/>
      <c r="DJ35" s="41"/>
      <c r="DK35" s="42"/>
    </row>
    <row r="36" spans="1:115" s="1" customFormat="1" ht="15" hidden="1" customHeight="1" x14ac:dyDescent="0.3">
      <c r="A36" s="2">
        <f t="shared" si="0"/>
        <v>20</v>
      </c>
      <c r="B36" s="14">
        <v>4642</v>
      </c>
      <c r="C36" s="6" t="s">
        <v>197</v>
      </c>
      <c r="D36" s="15">
        <v>2004</v>
      </c>
      <c r="E36" s="16">
        <f t="shared" si="12"/>
        <v>88.3</v>
      </c>
      <c r="F36" s="37" t="s">
        <v>154</v>
      </c>
      <c r="G36" s="37"/>
      <c r="H36" s="37" t="s">
        <v>164</v>
      </c>
      <c r="I36" s="37" t="s">
        <v>172</v>
      </c>
      <c r="J36" s="38">
        <f t="shared" ref="J36:J41" si="24">L36+N36</f>
        <v>0</v>
      </c>
      <c r="K36" s="39"/>
      <c r="L36" s="40"/>
      <c r="M36" s="41"/>
      <c r="N36" s="42"/>
      <c r="O36" s="38">
        <f t="shared" si="14"/>
        <v>17.5</v>
      </c>
      <c r="P36" s="39">
        <v>7</v>
      </c>
      <c r="Q36" s="42">
        <f>25*0.7</f>
        <v>17.5</v>
      </c>
      <c r="R36" s="43">
        <f>T36+V36+Z36+AB36</f>
        <v>10.8</v>
      </c>
      <c r="S36" s="44"/>
      <c r="T36" s="45"/>
      <c r="U36" s="44"/>
      <c r="V36" s="45"/>
      <c r="W36" s="31">
        <v>9</v>
      </c>
      <c r="X36" s="31" t="s">
        <v>110</v>
      </c>
      <c r="Y36" s="74">
        <v>9</v>
      </c>
      <c r="Z36" s="75">
        <f>8*0.9*1.5</f>
        <v>10.8</v>
      </c>
      <c r="AA36" s="44"/>
      <c r="AB36" s="78"/>
      <c r="AC36" s="82">
        <f t="shared" si="15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>
        <f>AP36+AR36</f>
        <v>24</v>
      </c>
      <c r="AO36" s="86">
        <v>8</v>
      </c>
      <c r="AP36" s="87">
        <f>20*0.8*1.5</f>
        <v>24</v>
      </c>
      <c r="AQ36" s="41"/>
      <c r="AR36" s="40"/>
      <c r="AS36" s="35">
        <v>7</v>
      </c>
      <c r="AT36" s="35" t="s">
        <v>110</v>
      </c>
      <c r="AU36" s="35">
        <v>7</v>
      </c>
      <c r="AV36" s="89" t="s">
        <v>110</v>
      </c>
      <c r="AW36" s="43">
        <f t="shared" ref="AW36:AW41" si="25">AY36+BA36+BC36+BE36</f>
        <v>0</v>
      </c>
      <c r="AX36" s="41"/>
      <c r="AY36" s="40"/>
      <c r="AZ36" s="41"/>
      <c r="BA36" s="40"/>
      <c r="BB36" s="41"/>
      <c r="BC36" s="40"/>
      <c r="BD36" s="41"/>
      <c r="BE36" s="42"/>
      <c r="BF36" s="43">
        <f>BH36+BJ36+BL36+BP36</f>
        <v>0</v>
      </c>
      <c r="BG36" s="41"/>
      <c r="BH36" s="40"/>
      <c r="BI36" s="41"/>
      <c r="BJ36" s="40"/>
      <c r="BK36" s="41"/>
      <c r="BL36" s="40"/>
      <c r="BM36" s="35">
        <v>5</v>
      </c>
      <c r="BN36" s="35" t="s">
        <v>110</v>
      </c>
      <c r="BO36" s="41"/>
      <c r="BP36" s="42"/>
      <c r="BQ36" s="43">
        <f t="shared" si="23"/>
        <v>36</v>
      </c>
      <c r="BR36" s="86">
        <v>6</v>
      </c>
      <c r="BS36" s="87">
        <f>30*0.8*1.5</f>
        <v>36</v>
      </c>
      <c r="BT36" s="41"/>
      <c r="BU36" s="40"/>
      <c r="BV36" s="41"/>
      <c r="BW36" s="40"/>
      <c r="BX36" s="41"/>
      <c r="BY36" s="42"/>
      <c r="BZ36" s="43">
        <f t="shared" si="16"/>
        <v>0</v>
      </c>
      <c r="CA36" s="106"/>
      <c r="CB36" s="102"/>
      <c r="CC36" s="41"/>
      <c r="CD36" s="40"/>
      <c r="CE36" s="41"/>
      <c r="CF36" s="40"/>
      <c r="CG36" s="41"/>
      <c r="CH36" s="40"/>
      <c r="CI36" s="41"/>
      <c r="CJ36" s="42"/>
      <c r="CK36" s="43">
        <f t="shared" si="17"/>
        <v>0</v>
      </c>
      <c r="CL36" s="41"/>
      <c r="CM36" s="40"/>
      <c r="CN36" s="41"/>
      <c r="CO36" s="40"/>
      <c r="CP36" s="41"/>
      <c r="CQ36" s="40"/>
      <c r="CR36" s="41"/>
      <c r="CS36" s="42"/>
      <c r="CT36" s="43">
        <f t="shared" si="18"/>
        <v>0</v>
      </c>
      <c r="CU36" s="41"/>
      <c r="CV36" s="40"/>
      <c r="CW36" s="40"/>
      <c r="CX36" s="40"/>
      <c r="CY36" s="40"/>
      <c r="CZ36" s="40"/>
      <c r="DA36" s="41"/>
      <c r="DB36" s="42"/>
      <c r="DC36" s="43">
        <f t="shared" si="13"/>
        <v>0</v>
      </c>
      <c r="DD36" s="41"/>
      <c r="DE36" s="40"/>
      <c r="DF36" s="40"/>
      <c r="DG36" s="40"/>
      <c r="DH36" s="40"/>
      <c r="DI36" s="40"/>
      <c r="DJ36" s="41"/>
      <c r="DK36" s="42"/>
    </row>
    <row r="37" spans="1:115" s="1" customFormat="1" ht="15" hidden="1" customHeight="1" x14ac:dyDescent="0.3">
      <c r="A37" s="2">
        <f t="shared" si="0"/>
        <v>21</v>
      </c>
      <c r="B37" s="14">
        <v>7162</v>
      </c>
      <c r="C37" s="5" t="s">
        <v>60</v>
      </c>
      <c r="D37" s="15">
        <v>2007</v>
      </c>
      <c r="E37" s="16">
        <f t="shared" si="12"/>
        <v>86.749999999999986</v>
      </c>
      <c r="F37" s="37" t="s">
        <v>155</v>
      </c>
      <c r="G37" s="37"/>
      <c r="H37" s="37" t="s">
        <v>166</v>
      </c>
      <c r="I37" s="37" t="s">
        <v>167</v>
      </c>
      <c r="J37" s="38">
        <f t="shared" si="24"/>
        <v>8</v>
      </c>
      <c r="K37" s="39">
        <v>8</v>
      </c>
      <c r="L37" s="40">
        <f>20*0.4</f>
        <v>8</v>
      </c>
      <c r="M37" s="41"/>
      <c r="N37" s="42"/>
      <c r="O37" s="38">
        <f t="shared" si="14"/>
        <v>0</v>
      </c>
      <c r="P37" s="39"/>
      <c r="Q37" s="42"/>
      <c r="R37" s="43">
        <f>T37+V37+Z37+AB37</f>
        <v>0</v>
      </c>
      <c r="S37" s="44"/>
      <c r="T37" s="45"/>
      <c r="U37" s="44"/>
      <c r="V37" s="45"/>
      <c r="W37" s="31">
        <v>7</v>
      </c>
      <c r="X37" s="31" t="s">
        <v>110</v>
      </c>
      <c r="Y37" s="44"/>
      <c r="Z37" s="45"/>
      <c r="AA37" s="44"/>
      <c r="AB37" s="78"/>
      <c r="AC37" s="82">
        <f t="shared" si="15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>AP37+AR37+AT37+AV37</f>
        <v>0</v>
      </c>
      <c r="AO37" s="41"/>
      <c r="AP37" s="40"/>
      <c r="AQ37" s="41"/>
      <c r="AR37" s="40"/>
      <c r="AS37" s="41"/>
      <c r="AT37" s="40"/>
      <c r="AU37" s="41"/>
      <c r="AV37" s="42"/>
      <c r="AW37" s="43">
        <f t="shared" si="25"/>
        <v>78.749999999999986</v>
      </c>
      <c r="AX37" s="41"/>
      <c r="AY37" s="40"/>
      <c r="AZ37" s="41"/>
      <c r="BA37" s="40"/>
      <c r="BB37" s="41">
        <v>3</v>
      </c>
      <c r="BC37" s="40">
        <f>45*0.7</f>
        <v>31.499999999999996</v>
      </c>
      <c r="BD37" s="86">
        <v>3</v>
      </c>
      <c r="BE37" s="88">
        <f>45*0.7*1.5</f>
        <v>47.249999999999993</v>
      </c>
      <c r="BF37" s="43">
        <f>BH37+BJ37+BL37+BN37+BP37</f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 t="shared" si="23"/>
        <v>0</v>
      </c>
      <c r="BR37" s="41"/>
      <c r="BS37" s="40"/>
      <c r="BT37" s="41"/>
      <c r="BU37" s="40"/>
      <c r="BV37" s="41"/>
      <c r="BW37" s="40"/>
      <c r="BX37" s="41"/>
      <c r="BY37" s="42"/>
      <c r="BZ37" s="43">
        <f t="shared" si="16"/>
        <v>0</v>
      </c>
      <c r="CA37" s="106"/>
      <c r="CB37" s="102"/>
      <c r="CC37" s="41"/>
      <c r="CD37" s="40"/>
      <c r="CE37" s="41"/>
      <c r="CF37" s="40"/>
      <c r="CG37" s="41"/>
      <c r="CH37" s="40"/>
      <c r="CI37" s="41"/>
      <c r="CJ37" s="42"/>
      <c r="CK37" s="43">
        <f t="shared" si="17"/>
        <v>0</v>
      </c>
      <c r="CL37" s="41"/>
      <c r="CM37" s="40"/>
      <c r="CN37" s="41"/>
      <c r="CO37" s="40"/>
      <c r="CP37" s="41"/>
      <c r="CQ37" s="40"/>
      <c r="CR37" s="41"/>
      <c r="CS37" s="42"/>
      <c r="CT37" s="43">
        <f t="shared" si="18"/>
        <v>0</v>
      </c>
      <c r="CU37" s="41"/>
      <c r="CV37" s="40"/>
      <c r="CW37" s="40"/>
      <c r="CX37" s="40"/>
      <c r="CY37" s="40"/>
      <c r="CZ37" s="40"/>
      <c r="DA37" s="41"/>
      <c r="DB37" s="42"/>
      <c r="DC37" s="43">
        <f t="shared" si="13"/>
        <v>0</v>
      </c>
      <c r="DD37" s="41"/>
      <c r="DE37" s="40"/>
      <c r="DF37" s="40"/>
      <c r="DG37" s="40"/>
      <c r="DH37" s="40"/>
      <c r="DI37" s="40"/>
      <c r="DJ37" s="41"/>
      <c r="DK37" s="42"/>
    </row>
    <row r="38" spans="1:115" s="1" customFormat="1" ht="15" hidden="1" customHeight="1" x14ac:dyDescent="0.3">
      <c r="A38" s="2">
        <f t="shared" si="0"/>
        <v>22</v>
      </c>
      <c r="B38" s="14">
        <v>1208</v>
      </c>
      <c r="C38" s="5" t="s">
        <v>239</v>
      </c>
      <c r="D38" s="15">
        <v>2012</v>
      </c>
      <c r="E38" s="16">
        <f t="shared" si="12"/>
        <v>82.5</v>
      </c>
      <c r="F38" s="37" t="s">
        <v>179</v>
      </c>
      <c r="G38" s="37"/>
      <c r="H38" s="37" t="s">
        <v>181</v>
      </c>
      <c r="I38" s="37"/>
      <c r="J38" s="38">
        <f t="shared" si="24"/>
        <v>0</v>
      </c>
      <c r="K38" s="39"/>
      <c r="L38" s="40"/>
      <c r="M38" s="41"/>
      <c r="N38" s="42"/>
      <c r="O38" s="38">
        <f t="shared" si="14"/>
        <v>0</v>
      </c>
      <c r="P38" s="39"/>
      <c r="Q38" s="42"/>
      <c r="R38" s="43">
        <f>T38+V38+X38+Z38+AB38</f>
        <v>0</v>
      </c>
      <c r="S38" s="44"/>
      <c r="T38" s="45"/>
      <c r="U38" s="44"/>
      <c r="V38" s="45"/>
      <c r="W38" s="44"/>
      <c r="X38" s="45"/>
      <c r="Y38" s="44"/>
      <c r="Z38" s="45"/>
      <c r="AA38" s="44"/>
      <c r="AB38" s="78"/>
      <c r="AC38" s="82">
        <f t="shared" si="15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>
        <f>AP38+AR38+AT38+AV38</f>
        <v>0</v>
      </c>
      <c r="AO38" s="41"/>
      <c r="AP38" s="40"/>
      <c r="AQ38" s="41"/>
      <c r="AR38" s="40"/>
      <c r="AS38" s="41"/>
      <c r="AT38" s="40"/>
      <c r="AU38" s="41"/>
      <c r="AV38" s="42"/>
      <c r="AW38" s="43">
        <f t="shared" si="25"/>
        <v>0</v>
      </c>
      <c r="AX38" s="41"/>
      <c r="AY38" s="40"/>
      <c r="AZ38" s="41"/>
      <c r="BA38" s="40"/>
      <c r="BB38" s="41"/>
      <c r="BC38" s="40"/>
      <c r="BD38" s="41"/>
      <c r="BE38" s="42"/>
      <c r="BF38" s="43">
        <f>BH38+BJ38+BL38+BN38+BP38</f>
        <v>0</v>
      </c>
      <c r="BG38" s="41"/>
      <c r="BH38" s="40"/>
      <c r="BI38" s="41"/>
      <c r="BJ38" s="40"/>
      <c r="BK38" s="41"/>
      <c r="BL38" s="40"/>
      <c r="BM38" s="41"/>
      <c r="BN38" s="40"/>
      <c r="BO38" s="41"/>
      <c r="BP38" s="42"/>
      <c r="BQ38" s="43">
        <f t="shared" si="23"/>
        <v>0</v>
      </c>
      <c r="BR38" s="41"/>
      <c r="BS38" s="40"/>
      <c r="BT38" s="41"/>
      <c r="BU38" s="40"/>
      <c r="BV38" s="41"/>
      <c r="BW38" s="40"/>
      <c r="BX38" s="41"/>
      <c r="BY38" s="42"/>
      <c r="BZ38" s="43">
        <f t="shared" si="16"/>
        <v>0</v>
      </c>
      <c r="CA38" s="106"/>
      <c r="CB38" s="102"/>
      <c r="CC38" s="41"/>
      <c r="CD38" s="40"/>
      <c r="CE38" s="41"/>
      <c r="CF38" s="40"/>
      <c r="CG38" s="41"/>
      <c r="CH38" s="40"/>
      <c r="CI38" s="41"/>
      <c r="CJ38" s="42"/>
      <c r="CK38" s="43">
        <f t="shared" si="17"/>
        <v>0</v>
      </c>
      <c r="CL38" s="41"/>
      <c r="CM38" s="40"/>
      <c r="CN38" s="41"/>
      <c r="CO38" s="40"/>
      <c r="CP38" s="41"/>
      <c r="CQ38" s="40"/>
      <c r="CR38" s="41"/>
      <c r="CS38" s="42"/>
      <c r="CT38" s="43">
        <f t="shared" si="18"/>
        <v>82.5</v>
      </c>
      <c r="CU38" s="86">
        <v>1</v>
      </c>
      <c r="CV38" s="87">
        <f>110*0.3*1.5</f>
        <v>49.5</v>
      </c>
      <c r="CW38" s="41">
        <v>1</v>
      </c>
      <c r="CX38" s="40">
        <f>110*0.3</f>
        <v>33</v>
      </c>
      <c r="CY38" s="40"/>
      <c r="CZ38" s="40"/>
      <c r="DA38" s="41"/>
      <c r="DB38" s="42"/>
      <c r="DC38" s="43">
        <f t="shared" si="13"/>
        <v>0</v>
      </c>
      <c r="DD38" s="41"/>
      <c r="DE38" s="40"/>
      <c r="DF38" s="40"/>
      <c r="DG38" s="40"/>
      <c r="DH38" s="40"/>
      <c r="DI38" s="40"/>
      <c r="DJ38" s="41"/>
      <c r="DK38" s="42"/>
    </row>
    <row r="39" spans="1:115" s="1" customFormat="1" ht="15" hidden="1" customHeight="1" x14ac:dyDescent="0.3">
      <c r="A39" s="2">
        <f t="shared" si="0"/>
        <v>23</v>
      </c>
      <c r="B39" s="14">
        <v>7375</v>
      </c>
      <c r="C39" s="5" t="s">
        <v>63</v>
      </c>
      <c r="D39" s="15">
        <v>2007</v>
      </c>
      <c r="E39" s="16">
        <f t="shared" si="12"/>
        <v>80</v>
      </c>
      <c r="F39" s="37" t="s">
        <v>174</v>
      </c>
      <c r="G39" s="37"/>
      <c r="H39" s="37" t="s">
        <v>175</v>
      </c>
      <c r="I39" s="37" t="s">
        <v>234</v>
      </c>
      <c r="J39" s="38">
        <f t="shared" si="24"/>
        <v>0</v>
      </c>
      <c r="K39" s="39"/>
      <c r="L39" s="40"/>
      <c r="M39" s="41"/>
      <c r="N39" s="42"/>
      <c r="O39" s="38">
        <f t="shared" si="14"/>
        <v>0</v>
      </c>
      <c r="P39" s="39"/>
      <c r="Q39" s="42"/>
      <c r="R39" s="43">
        <f>T39+V39+X39+Z39+AB39</f>
        <v>0</v>
      </c>
      <c r="S39" s="96"/>
      <c r="T39" s="45"/>
      <c r="U39" s="44"/>
      <c r="V39" s="45"/>
      <c r="W39" s="44"/>
      <c r="X39" s="45"/>
      <c r="Y39" s="96"/>
      <c r="Z39" s="45"/>
      <c r="AA39" s="44"/>
      <c r="AB39" s="78"/>
      <c r="AC39" s="82">
        <f t="shared" si="15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>
        <f>AP39+AR39+AT39+AV39</f>
        <v>0</v>
      </c>
      <c r="AO39" s="41"/>
      <c r="AP39" s="40"/>
      <c r="AQ39" s="41"/>
      <c r="AR39" s="40"/>
      <c r="AS39" s="41"/>
      <c r="AT39" s="40"/>
      <c r="AU39" s="41"/>
      <c r="AV39" s="42"/>
      <c r="AW39" s="43">
        <f t="shared" si="25"/>
        <v>0</v>
      </c>
      <c r="AX39" s="41"/>
      <c r="AY39" s="40"/>
      <c r="AZ39" s="41"/>
      <c r="BA39" s="40"/>
      <c r="BB39" s="41"/>
      <c r="BC39" s="40"/>
      <c r="BD39" s="41"/>
      <c r="BE39" s="42"/>
      <c r="BF39" s="43">
        <f>BH39+BJ39+BL39+BN39+BP39</f>
        <v>80</v>
      </c>
      <c r="BG39" s="41"/>
      <c r="BH39" s="40"/>
      <c r="BI39" s="41"/>
      <c r="BJ39" s="40"/>
      <c r="BK39" s="41">
        <v>2</v>
      </c>
      <c r="BL39" s="40">
        <f>80</f>
        <v>80</v>
      </c>
      <c r="BM39" s="41"/>
      <c r="BN39" s="40"/>
      <c r="BO39" s="41"/>
      <c r="BP39" s="42"/>
      <c r="BQ39" s="43">
        <f t="shared" si="23"/>
        <v>0</v>
      </c>
      <c r="BR39" s="41"/>
      <c r="BS39" s="40"/>
      <c r="BT39" s="41"/>
      <c r="BU39" s="40"/>
      <c r="BV39" s="41"/>
      <c r="BW39" s="40"/>
      <c r="BX39" s="41"/>
      <c r="BY39" s="42"/>
      <c r="BZ39" s="43">
        <f t="shared" si="16"/>
        <v>0</v>
      </c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>
        <f t="shared" si="17"/>
        <v>0</v>
      </c>
      <c r="CL39" s="41"/>
      <c r="CM39" s="40"/>
      <c r="CN39" s="41"/>
      <c r="CO39" s="40"/>
      <c r="CP39" s="41"/>
      <c r="CQ39" s="40"/>
      <c r="CR39" s="41"/>
      <c r="CS39" s="42"/>
      <c r="CT39" s="43">
        <f t="shared" si="18"/>
        <v>0</v>
      </c>
      <c r="CU39" s="41"/>
      <c r="CV39" s="40"/>
      <c r="CW39" s="40"/>
      <c r="CX39" s="40"/>
      <c r="CY39" s="40"/>
      <c r="CZ39" s="40"/>
      <c r="DA39" s="41"/>
      <c r="DB39" s="42"/>
      <c r="DC39" s="43">
        <f t="shared" si="13"/>
        <v>0</v>
      </c>
      <c r="DD39" s="41"/>
      <c r="DE39" s="40"/>
      <c r="DF39" s="40"/>
      <c r="DG39" s="40"/>
      <c r="DH39" s="40"/>
      <c r="DI39" s="40"/>
      <c r="DJ39" s="41"/>
      <c r="DK39" s="42"/>
    </row>
    <row r="40" spans="1:115" s="1" customFormat="1" ht="15" hidden="1" customHeight="1" x14ac:dyDescent="0.3">
      <c r="A40" s="2">
        <f t="shared" si="0"/>
        <v>24</v>
      </c>
      <c r="B40" s="14">
        <v>5945</v>
      </c>
      <c r="C40" s="5" t="s">
        <v>41</v>
      </c>
      <c r="D40" s="15">
        <v>2008</v>
      </c>
      <c r="E40" s="16">
        <f t="shared" si="12"/>
        <v>78</v>
      </c>
      <c r="F40" s="37" t="s">
        <v>184</v>
      </c>
      <c r="G40" s="37"/>
      <c r="H40" s="37" t="s">
        <v>185</v>
      </c>
      <c r="I40" s="37"/>
      <c r="J40" s="38">
        <f t="shared" si="24"/>
        <v>14</v>
      </c>
      <c r="K40" s="39"/>
      <c r="L40" s="40"/>
      <c r="M40" s="41">
        <v>5</v>
      </c>
      <c r="N40" s="42">
        <f>35*0.4</f>
        <v>14</v>
      </c>
      <c r="O40" s="38">
        <f t="shared" si="14"/>
        <v>0</v>
      </c>
      <c r="P40" s="39"/>
      <c r="Q40" s="42"/>
      <c r="R40" s="43">
        <f>T40+V40+X40+Z40+AB40</f>
        <v>0</v>
      </c>
      <c r="S40" s="44"/>
      <c r="T40" s="45"/>
      <c r="U40" s="44"/>
      <c r="V40" s="45"/>
      <c r="W40" s="96"/>
      <c r="X40" s="45"/>
      <c r="Y40" s="44"/>
      <c r="Z40" s="45"/>
      <c r="AA40" s="44"/>
      <c r="AB40" s="78"/>
      <c r="AC40" s="82">
        <f t="shared" si="15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>
        <f>AP40+AR40+AT40+AV40</f>
        <v>0</v>
      </c>
      <c r="AO40" s="41"/>
      <c r="AP40" s="40"/>
      <c r="AQ40" s="41"/>
      <c r="AR40" s="40"/>
      <c r="AS40" s="41"/>
      <c r="AT40" s="40"/>
      <c r="AU40" s="41"/>
      <c r="AV40" s="42"/>
      <c r="AW40" s="43">
        <f t="shared" si="25"/>
        <v>14</v>
      </c>
      <c r="AX40" s="41"/>
      <c r="AY40" s="40"/>
      <c r="AZ40" s="41">
        <v>8</v>
      </c>
      <c r="BA40" s="40">
        <f>20*0.7</f>
        <v>14</v>
      </c>
      <c r="BB40" s="41"/>
      <c r="BC40" s="40"/>
      <c r="BD40" s="41"/>
      <c r="BE40" s="42"/>
      <c r="BF40" s="43">
        <f>BH40+BJ40+BL40+BN40+BP40</f>
        <v>30</v>
      </c>
      <c r="BG40" s="41"/>
      <c r="BH40" s="40"/>
      <c r="BI40" s="41"/>
      <c r="BJ40" s="40"/>
      <c r="BK40" s="41">
        <v>6</v>
      </c>
      <c r="BL40" s="40">
        <f>30</f>
        <v>30</v>
      </c>
      <c r="BM40" s="41"/>
      <c r="BN40" s="40"/>
      <c r="BO40" s="41"/>
      <c r="BP40" s="42"/>
      <c r="BQ40" s="43">
        <f t="shared" si="23"/>
        <v>20</v>
      </c>
      <c r="BR40" s="41"/>
      <c r="BS40" s="40"/>
      <c r="BT40" s="41">
        <v>7</v>
      </c>
      <c r="BU40" s="40">
        <f>25*0.8</f>
        <v>20</v>
      </c>
      <c r="BV40" s="41"/>
      <c r="BW40" s="40"/>
      <c r="BX40" s="41"/>
      <c r="BY40" s="42"/>
      <c r="BZ40" s="43">
        <f t="shared" si="16"/>
        <v>0</v>
      </c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>
        <f t="shared" si="17"/>
        <v>0</v>
      </c>
      <c r="CL40" s="41"/>
      <c r="CM40" s="40"/>
      <c r="CN40" s="41"/>
      <c r="CO40" s="40"/>
      <c r="CP40" s="41"/>
      <c r="CQ40" s="40"/>
      <c r="CR40" s="41"/>
      <c r="CS40" s="42"/>
      <c r="CT40" s="43">
        <f t="shared" si="18"/>
        <v>0</v>
      </c>
      <c r="CU40" s="41"/>
      <c r="CV40" s="40"/>
      <c r="CW40" s="40"/>
      <c r="CX40" s="40"/>
      <c r="CY40" s="40"/>
      <c r="CZ40" s="40"/>
      <c r="DA40" s="41"/>
      <c r="DB40" s="42"/>
      <c r="DC40" s="43">
        <f t="shared" si="13"/>
        <v>0</v>
      </c>
      <c r="DD40" s="41"/>
      <c r="DE40" s="40"/>
      <c r="DF40" s="40"/>
      <c r="DG40" s="40"/>
      <c r="DH40" s="40"/>
      <c r="DI40" s="40"/>
      <c r="DJ40" s="41"/>
      <c r="DK40" s="42"/>
    </row>
    <row r="41" spans="1:115" s="1" customFormat="1" ht="15" hidden="1" customHeight="1" x14ac:dyDescent="0.3">
      <c r="A41" s="2">
        <f t="shared" ref="A41:A102" si="26">A40+1</f>
        <v>25</v>
      </c>
      <c r="B41" s="14">
        <v>4672</v>
      </c>
      <c r="C41" s="5" t="s">
        <v>117</v>
      </c>
      <c r="D41" s="15">
        <v>2006</v>
      </c>
      <c r="E41" s="16">
        <f t="shared" si="12"/>
        <v>65.2</v>
      </c>
      <c r="F41" s="37" t="s">
        <v>151</v>
      </c>
      <c r="G41" s="37"/>
      <c r="H41" s="37" t="s">
        <v>152</v>
      </c>
      <c r="I41" s="37" t="s">
        <v>193</v>
      </c>
      <c r="J41" s="38">
        <f t="shared" si="24"/>
        <v>0</v>
      </c>
      <c r="K41" s="39"/>
      <c r="L41" s="40"/>
      <c r="M41" s="41"/>
      <c r="N41" s="42"/>
      <c r="O41" s="38">
        <f t="shared" si="14"/>
        <v>0</v>
      </c>
      <c r="P41" s="39"/>
      <c r="Q41" s="42"/>
      <c r="R41" s="43">
        <f>T41+V41+Z41+AB41</f>
        <v>18</v>
      </c>
      <c r="S41" s="44"/>
      <c r="T41" s="45"/>
      <c r="U41" s="44"/>
      <c r="V41" s="45"/>
      <c r="W41" s="31">
        <v>8</v>
      </c>
      <c r="X41" s="31" t="s">
        <v>110</v>
      </c>
      <c r="Y41" s="44"/>
      <c r="Z41" s="45"/>
      <c r="AA41" s="44">
        <v>8</v>
      </c>
      <c r="AB41" s="78">
        <f>20*0.9</f>
        <v>18</v>
      </c>
      <c r="AC41" s="82">
        <f t="shared" si="15"/>
        <v>0</v>
      </c>
      <c r="AD41" s="44"/>
      <c r="AE41" s="45"/>
      <c r="AF41" s="44"/>
      <c r="AG41" s="45"/>
      <c r="AH41" s="44"/>
      <c r="AI41" s="45"/>
      <c r="AJ41" s="44"/>
      <c r="AK41" s="45"/>
      <c r="AL41" s="44"/>
      <c r="AM41" s="46"/>
      <c r="AN41" s="79">
        <f>AP41+AR41+AT41+AV41</f>
        <v>0</v>
      </c>
      <c r="AO41" s="41"/>
      <c r="AP41" s="40"/>
      <c r="AQ41" s="41"/>
      <c r="AR41" s="40"/>
      <c r="AS41" s="41"/>
      <c r="AT41" s="40"/>
      <c r="AU41" s="41"/>
      <c r="AV41" s="42"/>
      <c r="AW41" s="43">
        <f t="shared" si="25"/>
        <v>0</v>
      </c>
      <c r="AX41" s="41"/>
      <c r="AY41" s="40"/>
      <c r="AZ41" s="41"/>
      <c r="BA41" s="40"/>
      <c r="BB41" s="41"/>
      <c r="BC41" s="40"/>
      <c r="BD41" s="41"/>
      <c r="BE41" s="42"/>
      <c r="BF41" s="43">
        <f>BH41+BJ41+BL41+BN41+BP41</f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>
        <f t="shared" si="23"/>
        <v>47.2</v>
      </c>
      <c r="BR41" s="41"/>
      <c r="BS41" s="40"/>
      <c r="BT41" s="41"/>
      <c r="BU41" s="40"/>
      <c r="BV41" s="41">
        <v>5</v>
      </c>
      <c r="BW41" s="40">
        <f>26*0.8</f>
        <v>20.8</v>
      </c>
      <c r="BX41" s="86">
        <v>6</v>
      </c>
      <c r="BY41" s="88">
        <f>22*0.8*1.5</f>
        <v>26.400000000000002</v>
      </c>
      <c r="BZ41" s="43">
        <f t="shared" si="16"/>
        <v>0</v>
      </c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43">
        <f t="shared" si="17"/>
        <v>0</v>
      </c>
      <c r="CL41" s="41"/>
      <c r="CM41" s="40"/>
      <c r="CN41" s="41"/>
      <c r="CO41" s="40"/>
      <c r="CP41" s="41"/>
      <c r="CQ41" s="40"/>
      <c r="CR41" s="41"/>
      <c r="CS41" s="42"/>
      <c r="CT41" s="43">
        <f t="shared" si="18"/>
        <v>0</v>
      </c>
      <c r="CU41" s="41"/>
      <c r="CV41" s="40"/>
      <c r="CW41" s="40"/>
      <c r="CX41" s="40"/>
      <c r="CY41" s="40"/>
      <c r="CZ41" s="40"/>
      <c r="DA41" s="41"/>
      <c r="DB41" s="42"/>
      <c r="DC41" s="43">
        <f t="shared" si="13"/>
        <v>0</v>
      </c>
      <c r="DD41" s="41"/>
      <c r="DE41" s="40"/>
      <c r="DF41" s="40"/>
      <c r="DG41" s="40"/>
      <c r="DH41" s="40"/>
      <c r="DI41" s="40"/>
      <c r="DJ41" s="41"/>
      <c r="DK41" s="42"/>
    </row>
    <row r="42" spans="1:115" s="1" customFormat="1" ht="15" customHeight="1" x14ac:dyDescent="0.3">
      <c r="A42" s="2">
        <v>2</v>
      </c>
      <c r="B42" s="14">
        <v>7237</v>
      </c>
      <c r="C42" s="5" t="s">
        <v>87</v>
      </c>
      <c r="D42" s="15">
        <v>2009</v>
      </c>
      <c r="E42" s="16">
        <f t="shared" si="12"/>
        <v>83</v>
      </c>
      <c r="F42" s="37" t="s">
        <v>157</v>
      </c>
      <c r="G42" s="37"/>
      <c r="H42" s="37" t="s">
        <v>182</v>
      </c>
      <c r="I42" s="37"/>
      <c r="J42" s="38"/>
      <c r="K42" s="39"/>
      <c r="L42" s="40"/>
      <c r="M42" s="41"/>
      <c r="N42" s="42"/>
      <c r="O42" s="38"/>
      <c r="P42" s="39"/>
      <c r="Q42" s="42"/>
      <c r="R42" s="43"/>
      <c r="S42" s="44"/>
      <c r="T42" s="45"/>
      <c r="U42" s="44"/>
      <c r="V42" s="45"/>
      <c r="W42" s="44"/>
      <c r="X42" s="45"/>
      <c r="Y42" s="44"/>
      <c r="Z42" s="45"/>
      <c r="AA42" s="44"/>
      <c r="AB42" s="78"/>
      <c r="AC42" s="82"/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79"/>
      <c r="AO42" s="41"/>
      <c r="AP42" s="40"/>
      <c r="AQ42" s="41"/>
      <c r="AR42" s="40"/>
      <c r="AS42" s="41"/>
      <c r="AT42" s="40"/>
      <c r="AU42" s="41"/>
      <c r="AV42" s="42"/>
      <c r="AW42" s="43"/>
      <c r="AX42" s="41"/>
      <c r="AY42" s="40"/>
      <c r="AZ42" s="41"/>
      <c r="BA42" s="40"/>
      <c r="BB42" s="41"/>
      <c r="BC42" s="40"/>
      <c r="BD42" s="41"/>
      <c r="BE42" s="42"/>
      <c r="BF42" s="43"/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43"/>
      <c r="BR42" s="41"/>
      <c r="BS42" s="40"/>
      <c r="BT42" s="41"/>
      <c r="BU42" s="40"/>
      <c r="BV42" s="41"/>
      <c r="BW42" s="40"/>
      <c r="BX42" s="41"/>
      <c r="BY42" s="42"/>
      <c r="BZ42" s="43"/>
      <c r="CA42" s="106"/>
      <c r="CB42" s="102"/>
      <c r="CC42" s="41"/>
      <c r="CD42" s="40"/>
      <c r="CE42" s="41"/>
      <c r="CF42" s="40"/>
      <c r="CG42" s="41"/>
      <c r="CH42" s="40"/>
      <c r="CI42" s="41"/>
      <c r="CJ42" s="42"/>
      <c r="CK42" s="43"/>
      <c r="CL42" s="41"/>
      <c r="CM42" s="40"/>
      <c r="CN42" s="41"/>
      <c r="CO42" s="40"/>
      <c r="CP42" s="41"/>
      <c r="CQ42" s="40"/>
      <c r="CR42" s="41"/>
      <c r="CS42" s="42"/>
      <c r="CT42" s="43"/>
      <c r="CU42" s="41"/>
      <c r="CV42" s="40"/>
      <c r="CW42" s="40"/>
      <c r="CX42" s="40"/>
      <c r="CY42" s="40"/>
      <c r="CZ42" s="40"/>
      <c r="DA42" s="41"/>
      <c r="DB42" s="42"/>
      <c r="DC42" s="43">
        <f t="shared" si="13"/>
        <v>83</v>
      </c>
      <c r="DD42" s="86">
        <v>7</v>
      </c>
      <c r="DE42" s="87">
        <f>25*0.4*1.5</f>
        <v>15</v>
      </c>
      <c r="DF42" s="41"/>
      <c r="DG42" s="40"/>
      <c r="DH42" s="41">
        <v>1</v>
      </c>
      <c r="DI42" s="40">
        <f>80*0.4</f>
        <v>32</v>
      </c>
      <c r="DJ42" s="86">
        <v>2</v>
      </c>
      <c r="DK42" s="88">
        <f>60*0.4*1.5</f>
        <v>36</v>
      </c>
    </row>
    <row r="43" spans="1:115" s="1" customFormat="1" ht="15" hidden="1" customHeight="1" x14ac:dyDescent="0.3">
      <c r="A43" s="2">
        <f t="shared" si="26"/>
        <v>3</v>
      </c>
      <c r="B43" s="14">
        <v>1207</v>
      </c>
      <c r="C43" s="5" t="s">
        <v>240</v>
      </c>
      <c r="D43" s="15">
        <v>2012</v>
      </c>
      <c r="E43" s="16">
        <f t="shared" si="12"/>
        <v>51</v>
      </c>
      <c r="F43" s="37" t="s">
        <v>179</v>
      </c>
      <c r="G43" s="37"/>
      <c r="H43" s="37" t="s">
        <v>241</v>
      </c>
      <c r="I43" s="37"/>
      <c r="J43" s="38">
        <f>L43+N43</f>
        <v>0</v>
      </c>
      <c r="K43" s="39"/>
      <c r="L43" s="40"/>
      <c r="M43" s="41"/>
      <c r="N43" s="42"/>
      <c r="O43" s="38">
        <f>Q43</f>
        <v>0</v>
      </c>
      <c r="P43" s="39"/>
      <c r="Q43" s="42"/>
      <c r="R43" s="43">
        <f>T43+V43+X43+Z43+AB43</f>
        <v>0</v>
      </c>
      <c r="S43" s="44"/>
      <c r="T43" s="45"/>
      <c r="U43" s="44"/>
      <c r="V43" s="45"/>
      <c r="W43" s="44"/>
      <c r="X43" s="45"/>
      <c r="Y43" s="44"/>
      <c r="Z43" s="45"/>
      <c r="AA43" s="44"/>
      <c r="AB43" s="78"/>
      <c r="AC43" s="82">
        <f>AE43+AG43+AI43+AK43+AM43</f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>AP43+AR43+AT43+AV43</f>
        <v>0</v>
      </c>
      <c r="AO43" s="41"/>
      <c r="AP43" s="40"/>
      <c r="AQ43" s="41"/>
      <c r="AR43" s="40"/>
      <c r="AS43" s="41"/>
      <c r="AT43" s="40"/>
      <c r="AU43" s="41"/>
      <c r="AV43" s="42"/>
      <c r="AW43" s="43">
        <f>AY43+BA43+BC43+BE43</f>
        <v>0</v>
      </c>
      <c r="AX43" s="41"/>
      <c r="AY43" s="40"/>
      <c r="AZ43" s="41"/>
      <c r="BA43" s="40"/>
      <c r="BB43" s="41"/>
      <c r="BC43" s="40"/>
      <c r="BD43" s="41"/>
      <c r="BE43" s="42"/>
      <c r="BF43" s="43">
        <f>BH43+BJ43+BL43+BN43+BP43</f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>
        <f>BS43+BU43+BW43+BY43</f>
        <v>0</v>
      </c>
      <c r="BR43" s="41"/>
      <c r="BS43" s="40"/>
      <c r="BT43" s="41"/>
      <c r="BU43" s="40"/>
      <c r="BV43" s="41"/>
      <c r="BW43" s="40"/>
      <c r="BX43" s="41"/>
      <c r="BY43" s="42"/>
      <c r="BZ43" s="43">
        <f>CB43+CD43+CF43+CH43+CJ43</f>
        <v>0</v>
      </c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>
        <f>CM43+CO43+CQ43+CS43</f>
        <v>0</v>
      </c>
      <c r="CL43" s="41"/>
      <c r="CM43" s="40"/>
      <c r="CN43" s="41"/>
      <c r="CO43" s="40"/>
      <c r="CP43" s="41"/>
      <c r="CQ43" s="40"/>
      <c r="CR43" s="41"/>
      <c r="CS43" s="42"/>
      <c r="CT43" s="43">
        <f>CV43+CX43+CZ43+DB43</f>
        <v>51</v>
      </c>
      <c r="CU43" s="86">
        <v>3</v>
      </c>
      <c r="CV43" s="87">
        <f>60*0.3*1.5</f>
        <v>27</v>
      </c>
      <c r="CW43" s="41">
        <v>2</v>
      </c>
      <c r="CX43" s="40">
        <f>80*0.3</f>
        <v>24</v>
      </c>
      <c r="CY43" s="40"/>
      <c r="CZ43" s="40"/>
      <c r="DA43" s="41"/>
      <c r="DB43" s="42"/>
      <c r="DC43" s="43">
        <f t="shared" si="13"/>
        <v>0</v>
      </c>
      <c r="DD43" s="41"/>
      <c r="DE43" s="40"/>
      <c r="DF43" s="40"/>
      <c r="DG43" s="40"/>
      <c r="DH43" s="40"/>
      <c r="DI43" s="40"/>
      <c r="DJ43" s="41"/>
      <c r="DK43" s="42"/>
    </row>
    <row r="44" spans="1:115" s="1" customFormat="1" ht="15" hidden="1" customHeight="1" x14ac:dyDescent="0.3">
      <c r="A44" s="2">
        <f t="shared" si="26"/>
        <v>4</v>
      </c>
      <c r="B44" s="14">
        <v>9760</v>
      </c>
      <c r="C44" s="5" t="s">
        <v>245</v>
      </c>
      <c r="D44" s="15">
        <v>2012</v>
      </c>
      <c r="E44" s="16">
        <f t="shared" si="12"/>
        <v>48</v>
      </c>
      <c r="F44" s="37" t="s">
        <v>149</v>
      </c>
      <c r="G44" s="37"/>
      <c r="H44" s="37" t="s">
        <v>246</v>
      </c>
      <c r="I44" s="37" t="s">
        <v>247</v>
      </c>
      <c r="J44" s="38">
        <f>L44+N44</f>
        <v>0</v>
      </c>
      <c r="K44" s="39"/>
      <c r="L44" s="40"/>
      <c r="M44" s="41"/>
      <c r="N44" s="42"/>
      <c r="O44" s="38">
        <f>Q44</f>
        <v>0</v>
      </c>
      <c r="P44" s="39"/>
      <c r="Q44" s="42"/>
      <c r="R44" s="43">
        <f>T44+V44+X44+Z44+AB44</f>
        <v>0</v>
      </c>
      <c r="S44" s="44"/>
      <c r="T44" s="45"/>
      <c r="U44" s="44"/>
      <c r="V44" s="45"/>
      <c r="W44" s="44"/>
      <c r="X44" s="45"/>
      <c r="Y44" s="44"/>
      <c r="Z44" s="45"/>
      <c r="AA44" s="44"/>
      <c r="AB44" s="78"/>
      <c r="AC44" s="82">
        <f>AE44+AG44+AI44+AK44+AM44</f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>
        <f>AP44+AR44+AT44+AV44</f>
        <v>0</v>
      </c>
      <c r="AO44" s="41"/>
      <c r="AP44" s="40"/>
      <c r="AQ44" s="41"/>
      <c r="AR44" s="40"/>
      <c r="AS44" s="41"/>
      <c r="AT44" s="40"/>
      <c r="AU44" s="41"/>
      <c r="AV44" s="42"/>
      <c r="AW44" s="43">
        <f>AY44+BA44+BC44+BE44</f>
        <v>0</v>
      </c>
      <c r="AX44" s="41"/>
      <c r="AY44" s="40"/>
      <c r="AZ44" s="41"/>
      <c r="BA44" s="40"/>
      <c r="BB44" s="41"/>
      <c r="BC44" s="40"/>
      <c r="BD44" s="41"/>
      <c r="BE44" s="42"/>
      <c r="BF44" s="43">
        <f>BH44+BJ44+BL44+BN44+BP44</f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>
        <f>BS44+BU44+BW44+BY44</f>
        <v>0</v>
      </c>
      <c r="BR44" s="41"/>
      <c r="BS44" s="40"/>
      <c r="BT44" s="41"/>
      <c r="BU44" s="40"/>
      <c r="BV44" s="41"/>
      <c r="BW44" s="40"/>
      <c r="BX44" s="41"/>
      <c r="BY44" s="42"/>
      <c r="BZ44" s="43">
        <f>CB44+CD44+CF44+CH44+CJ44</f>
        <v>0</v>
      </c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>
        <f>CM44+CO44+CQ44+CS44</f>
        <v>0</v>
      </c>
      <c r="CL44" s="41"/>
      <c r="CM44" s="40"/>
      <c r="CN44" s="41"/>
      <c r="CO44" s="40"/>
      <c r="CP44" s="41"/>
      <c r="CQ44" s="40"/>
      <c r="CR44" s="41"/>
      <c r="CS44" s="42"/>
      <c r="CT44" s="43">
        <f>CV44+CX44+CZ44+DB44</f>
        <v>48</v>
      </c>
      <c r="CU44" s="41"/>
      <c r="CV44" s="40"/>
      <c r="CW44" s="41">
        <v>4</v>
      </c>
      <c r="CX44" s="40">
        <f>40*0.3</f>
        <v>12</v>
      </c>
      <c r="CY44" s="40"/>
      <c r="CZ44" s="40"/>
      <c r="DA44" s="86">
        <v>1</v>
      </c>
      <c r="DB44" s="88">
        <f>80*0.3*1.5</f>
        <v>36</v>
      </c>
      <c r="DC44" s="43">
        <f t="shared" si="13"/>
        <v>0</v>
      </c>
      <c r="DD44" s="41"/>
      <c r="DE44" s="40"/>
      <c r="DF44" s="40"/>
      <c r="DG44" s="40"/>
      <c r="DH44" s="40"/>
      <c r="DI44" s="40"/>
      <c r="DJ44" s="41"/>
      <c r="DK44" s="42"/>
    </row>
    <row r="45" spans="1:115" s="1" customFormat="1" ht="15" hidden="1" customHeight="1" x14ac:dyDescent="0.3">
      <c r="A45" s="2">
        <f t="shared" si="26"/>
        <v>5</v>
      </c>
      <c r="B45" s="14">
        <v>9851</v>
      </c>
      <c r="C45" s="5" t="s">
        <v>258</v>
      </c>
      <c r="D45" s="15">
        <v>2012</v>
      </c>
      <c r="E45" s="16">
        <f t="shared" si="12"/>
        <v>47.25</v>
      </c>
      <c r="F45" s="37" t="s">
        <v>149</v>
      </c>
      <c r="G45" s="37"/>
      <c r="H45" s="37" t="s">
        <v>150</v>
      </c>
      <c r="I45" s="37" t="s">
        <v>257</v>
      </c>
      <c r="J45" s="38">
        <f>L45+N45</f>
        <v>0</v>
      </c>
      <c r="K45" s="39"/>
      <c r="L45" s="40"/>
      <c r="M45" s="41"/>
      <c r="N45" s="42"/>
      <c r="O45" s="38">
        <f>Q45</f>
        <v>0</v>
      </c>
      <c r="P45" s="39"/>
      <c r="Q45" s="42"/>
      <c r="R45" s="43">
        <f>T45+V45+X45+Z45+AB45</f>
        <v>0</v>
      </c>
      <c r="S45" s="96"/>
      <c r="T45" s="45"/>
      <c r="U45" s="96"/>
      <c r="V45" s="45"/>
      <c r="W45" s="44"/>
      <c r="X45" s="45"/>
      <c r="Y45" s="96"/>
      <c r="Z45" s="45"/>
      <c r="AA45" s="44"/>
      <c r="AB45" s="78"/>
      <c r="AC45" s="82">
        <f>AE45+AG45+AI45+AK45+AM45</f>
        <v>0</v>
      </c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>
        <f>AP45+AR45+AT45+AV45</f>
        <v>0</v>
      </c>
      <c r="AO45" s="41"/>
      <c r="AP45" s="40"/>
      <c r="AQ45" s="41"/>
      <c r="AR45" s="40"/>
      <c r="AS45" s="41"/>
      <c r="AT45" s="40"/>
      <c r="AU45" s="41"/>
      <c r="AV45" s="42"/>
      <c r="AW45" s="43">
        <f>AY45+BA45+BC45+BE45</f>
        <v>0</v>
      </c>
      <c r="AX45" s="41"/>
      <c r="AY45" s="40"/>
      <c r="AZ45" s="41"/>
      <c r="BA45" s="40"/>
      <c r="BB45" s="41"/>
      <c r="BC45" s="40"/>
      <c r="BD45" s="41"/>
      <c r="BE45" s="42"/>
      <c r="BF45" s="43">
        <f>BH45+BJ45+BL45+BN45+BP45</f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>
        <f>BS45+BU45+BW45+BY45</f>
        <v>0</v>
      </c>
      <c r="BR45" s="41"/>
      <c r="BS45" s="40"/>
      <c r="BT45" s="41"/>
      <c r="BU45" s="40"/>
      <c r="BV45" s="41"/>
      <c r="BW45" s="40"/>
      <c r="BX45" s="41"/>
      <c r="BY45" s="42"/>
      <c r="BZ45" s="43">
        <f>CB45+CD45+CF45+CH45+CJ45</f>
        <v>0</v>
      </c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43">
        <f>CM45+CO45+CQ45+CS45</f>
        <v>0</v>
      </c>
      <c r="CL45" s="41"/>
      <c r="CM45" s="40"/>
      <c r="CN45" s="41"/>
      <c r="CO45" s="40"/>
      <c r="CP45" s="41"/>
      <c r="CQ45" s="40"/>
      <c r="CR45" s="41"/>
      <c r="CS45" s="42"/>
      <c r="CT45" s="43">
        <f>CV45+CX45+CZ45+DB45</f>
        <v>47.25</v>
      </c>
      <c r="CU45" s="86">
        <v>7</v>
      </c>
      <c r="CV45" s="87">
        <f>25*0.3*1.5</f>
        <v>11.25</v>
      </c>
      <c r="CW45" s="41"/>
      <c r="CX45" s="40"/>
      <c r="CY45" s="40"/>
      <c r="CZ45" s="40"/>
      <c r="DA45" s="86">
        <v>1</v>
      </c>
      <c r="DB45" s="88">
        <f>80*0.3*1.5</f>
        <v>36</v>
      </c>
      <c r="DC45" s="43">
        <f t="shared" si="13"/>
        <v>0</v>
      </c>
      <c r="DD45" s="41"/>
      <c r="DE45" s="40"/>
      <c r="DF45" s="40"/>
      <c r="DG45" s="40"/>
      <c r="DH45" s="40"/>
      <c r="DI45" s="40"/>
      <c r="DJ45" s="41"/>
      <c r="DK45" s="42"/>
    </row>
    <row r="46" spans="1:115" s="1" customFormat="1" ht="15" customHeight="1" x14ac:dyDescent="0.3">
      <c r="A46" s="126">
        <v>3</v>
      </c>
      <c r="B46" s="127">
        <v>7030</v>
      </c>
      <c r="C46" s="128" t="s">
        <v>82</v>
      </c>
      <c r="D46" s="129">
        <v>2010</v>
      </c>
      <c r="E46" s="130">
        <f t="shared" si="12"/>
        <v>72.8</v>
      </c>
      <c r="F46" s="131" t="s">
        <v>158</v>
      </c>
      <c r="G46" s="37"/>
      <c r="H46" s="37" t="s">
        <v>218</v>
      </c>
      <c r="I46" s="37" t="s">
        <v>219</v>
      </c>
      <c r="J46" s="38"/>
      <c r="K46" s="39"/>
      <c r="L46" s="40"/>
      <c r="M46" s="41"/>
      <c r="N46" s="42"/>
      <c r="O46" s="38"/>
      <c r="P46" s="39"/>
      <c r="Q46" s="42"/>
      <c r="R46" s="43"/>
      <c r="S46" s="44"/>
      <c r="T46" s="45"/>
      <c r="U46" s="44"/>
      <c r="V46" s="45"/>
      <c r="W46" s="44"/>
      <c r="X46" s="45"/>
      <c r="Y46" s="44"/>
      <c r="Z46" s="45"/>
      <c r="AA46" s="44"/>
      <c r="AB46" s="78"/>
      <c r="AC46" s="82"/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/>
      <c r="AO46" s="41"/>
      <c r="AP46" s="40"/>
      <c r="AQ46" s="41"/>
      <c r="AR46" s="40"/>
      <c r="AS46" s="41"/>
      <c r="AT46" s="40"/>
      <c r="AU46" s="41"/>
      <c r="AV46" s="42"/>
      <c r="AW46" s="43"/>
      <c r="AX46" s="41"/>
      <c r="AY46" s="40"/>
      <c r="AZ46" s="41"/>
      <c r="BA46" s="40"/>
      <c r="BB46" s="41"/>
      <c r="BC46" s="40"/>
      <c r="BD46" s="86"/>
      <c r="BE46" s="88"/>
      <c r="BF46" s="43"/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/>
      <c r="BR46" s="41"/>
      <c r="BS46" s="40"/>
      <c r="BT46" s="41"/>
      <c r="BU46" s="40"/>
      <c r="BV46" s="41"/>
      <c r="BW46" s="40"/>
      <c r="BX46" s="41"/>
      <c r="BY46" s="42"/>
      <c r="BZ46" s="43"/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/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132">
        <f t="shared" si="13"/>
        <v>72.8</v>
      </c>
      <c r="DD46" s="86">
        <v>2</v>
      </c>
      <c r="DE46" s="87">
        <f>80*0.4*1.5</f>
        <v>48</v>
      </c>
      <c r="DF46" s="41">
        <v>5</v>
      </c>
      <c r="DG46" s="40">
        <f>35*0.4</f>
        <v>14</v>
      </c>
      <c r="DH46" s="41"/>
      <c r="DI46" s="40"/>
      <c r="DJ46" s="86">
        <v>7</v>
      </c>
      <c r="DK46" s="88">
        <f>18*0.4*1.5</f>
        <v>10.8</v>
      </c>
    </row>
    <row r="47" spans="1:115" s="1" customFormat="1" ht="15" hidden="1" customHeight="1" x14ac:dyDescent="0.3">
      <c r="A47" s="2">
        <f t="shared" si="26"/>
        <v>4</v>
      </c>
      <c r="B47" s="14">
        <v>7025</v>
      </c>
      <c r="C47" s="5" t="s">
        <v>220</v>
      </c>
      <c r="D47" s="15">
        <v>2008</v>
      </c>
      <c r="E47" s="16">
        <f t="shared" si="12"/>
        <v>42.699999999999996</v>
      </c>
      <c r="F47" s="37" t="s">
        <v>158</v>
      </c>
      <c r="G47" s="37"/>
      <c r="H47" s="37" t="s">
        <v>218</v>
      </c>
      <c r="I47" s="37" t="s">
        <v>219</v>
      </c>
      <c r="J47" s="38">
        <f>L47+N47</f>
        <v>0</v>
      </c>
      <c r="K47" s="39"/>
      <c r="L47" s="40"/>
      <c r="M47" s="41"/>
      <c r="N47" s="42"/>
      <c r="O47" s="38">
        <f>Q47</f>
        <v>0</v>
      </c>
      <c r="P47" s="39"/>
      <c r="Q47" s="42"/>
      <c r="R47" s="43">
        <f>T47+V47+X47+Z47+AB47</f>
        <v>0</v>
      </c>
      <c r="S47" s="44"/>
      <c r="T47" s="45"/>
      <c r="U47" s="44"/>
      <c r="V47" s="45"/>
      <c r="W47" s="44"/>
      <c r="X47" s="45"/>
      <c r="Y47" s="44"/>
      <c r="Z47" s="45"/>
      <c r="AA47" s="44"/>
      <c r="AB47" s="78"/>
      <c r="AC47" s="82">
        <f>AE47+AG47+AI47+AK47+AM47</f>
        <v>0</v>
      </c>
      <c r="AD47" s="44"/>
      <c r="AE47" s="45"/>
      <c r="AF47" s="44"/>
      <c r="AG47" s="45"/>
      <c r="AH47" s="44"/>
      <c r="AI47" s="45"/>
      <c r="AJ47" s="44"/>
      <c r="AK47" s="45"/>
      <c r="AL47" s="44"/>
      <c r="AM47" s="46"/>
      <c r="AN47" s="79">
        <f>AP47+AR47+AT47+AV47</f>
        <v>0</v>
      </c>
      <c r="AO47" s="41"/>
      <c r="AP47" s="40"/>
      <c r="AQ47" s="41"/>
      <c r="AR47" s="40"/>
      <c r="AS47" s="41"/>
      <c r="AT47" s="40"/>
      <c r="AU47" s="41"/>
      <c r="AV47" s="42"/>
      <c r="AW47" s="43">
        <f>AY47+BA47+BC47+BE47</f>
        <v>42.699999999999996</v>
      </c>
      <c r="AX47" s="41"/>
      <c r="AY47" s="40"/>
      <c r="AZ47" s="41"/>
      <c r="BA47" s="40"/>
      <c r="BB47" s="41">
        <v>6</v>
      </c>
      <c r="BC47" s="40">
        <f>22*0.7</f>
        <v>15.399999999999999</v>
      </c>
      <c r="BD47" s="86">
        <v>5</v>
      </c>
      <c r="BE47" s="88">
        <f>26*0.7*1.5</f>
        <v>27.299999999999997</v>
      </c>
      <c r="BF47" s="43">
        <f>BH47+BJ47+BL47+BN47+BP47</f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42"/>
      <c r="BQ47" s="43">
        <f>BS47+BU47+BW47+BY47</f>
        <v>0</v>
      </c>
      <c r="BR47" s="41"/>
      <c r="BS47" s="40"/>
      <c r="BT47" s="41"/>
      <c r="BU47" s="40"/>
      <c r="BV47" s="41"/>
      <c r="BW47" s="40"/>
      <c r="BX47" s="41"/>
      <c r="BY47" s="42"/>
      <c r="BZ47" s="43">
        <f>CB47+CD47+CF47+CH47+CJ47</f>
        <v>0</v>
      </c>
      <c r="CA47" s="106"/>
      <c r="CB47" s="102"/>
      <c r="CC47" s="41"/>
      <c r="CD47" s="40"/>
      <c r="CE47" s="41"/>
      <c r="CF47" s="40"/>
      <c r="CG47" s="41"/>
      <c r="CH47" s="40"/>
      <c r="CI47" s="41"/>
      <c r="CJ47" s="42"/>
      <c r="CK47" s="43">
        <f>CM47+CO47+CQ47+CS47</f>
        <v>0</v>
      </c>
      <c r="CL47" s="41"/>
      <c r="CM47" s="40"/>
      <c r="CN47" s="41"/>
      <c r="CO47" s="40"/>
      <c r="CP47" s="41"/>
      <c r="CQ47" s="40"/>
      <c r="CR47" s="41"/>
      <c r="CS47" s="42"/>
      <c r="CT47" s="43">
        <f>CV47+CX47+CZ47+DB47</f>
        <v>0</v>
      </c>
      <c r="CU47" s="41"/>
      <c r="CV47" s="40"/>
      <c r="CW47" s="40"/>
      <c r="CX47" s="40"/>
      <c r="CY47" s="40"/>
      <c r="CZ47" s="40"/>
      <c r="DA47" s="41"/>
      <c r="DB47" s="42"/>
      <c r="DC47" s="43">
        <f t="shared" si="13"/>
        <v>0</v>
      </c>
      <c r="DD47" s="41"/>
      <c r="DE47" s="40"/>
      <c r="DF47" s="40"/>
      <c r="DG47" s="40"/>
      <c r="DH47" s="40"/>
      <c r="DI47" s="40"/>
      <c r="DJ47" s="41"/>
      <c r="DK47" s="42"/>
    </row>
    <row r="48" spans="1:115" s="1" customFormat="1" ht="15" hidden="1" customHeight="1" x14ac:dyDescent="0.3">
      <c r="A48" s="2">
        <f t="shared" si="26"/>
        <v>5</v>
      </c>
      <c r="B48" s="14">
        <v>5686</v>
      </c>
      <c r="C48" s="5" t="s">
        <v>8</v>
      </c>
      <c r="D48" s="17">
        <v>2004</v>
      </c>
      <c r="E48" s="16">
        <f t="shared" si="12"/>
        <v>42.5</v>
      </c>
      <c r="F48" s="37" t="s">
        <v>158</v>
      </c>
      <c r="G48" s="37"/>
      <c r="H48" s="37" t="s">
        <v>205</v>
      </c>
      <c r="I48" s="37" t="s">
        <v>206</v>
      </c>
      <c r="J48" s="38">
        <f>L48+N48</f>
        <v>0</v>
      </c>
      <c r="K48" s="39"/>
      <c r="L48" s="40"/>
      <c r="M48" s="41"/>
      <c r="N48" s="42"/>
      <c r="O48" s="38">
        <f>Q48</f>
        <v>0</v>
      </c>
      <c r="P48" s="39"/>
      <c r="Q48" s="42"/>
      <c r="R48" s="43">
        <f>T48+V48+X48+Z48+AB48</f>
        <v>22.5</v>
      </c>
      <c r="S48" s="44"/>
      <c r="T48" s="45"/>
      <c r="U48" s="44"/>
      <c r="V48" s="45"/>
      <c r="W48" s="44"/>
      <c r="X48" s="45"/>
      <c r="Y48" s="44"/>
      <c r="Z48" s="45"/>
      <c r="AA48" s="44">
        <v>7</v>
      </c>
      <c r="AB48" s="78">
        <f>25*0.9</f>
        <v>22.5</v>
      </c>
      <c r="AC48" s="82">
        <f>AE48+AG48+AI48+AK48+AM48</f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>AP48+AR48+AT48+AV48</f>
        <v>0</v>
      </c>
      <c r="AO48" s="41"/>
      <c r="AP48" s="40"/>
      <c r="AQ48" s="41"/>
      <c r="AR48" s="40"/>
      <c r="AS48" s="41"/>
      <c r="AT48" s="40"/>
      <c r="AU48" s="41"/>
      <c r="AV48" s="42"/>
      <c r="AW48" s="43">
        <f>AY48+BA48+BC48+BE48</f>
        <v>0</v>
      </c>
      <c r="AX48" s="41"/>
      <c r="AY48" s="40"/>
      <c r="AZ48" s="41"/>
      <c r="BA48" s="40"/>
      <c r="BB48" s="41"/>
      <c r="BC48" s="40"/>
      <c r="BD48" s="41"/>
      <c r="BE48" s="42"/>
      <c r="BF48" s="43">
        <f>BH48+BJ48+BL48+BN48+BP48</f>
        <v>20</v>
      </c>
      <c r="BG48" s="41"/>
      <c r="BH48" s="40"/>
      <c r="BI48" s="41"/>
      <c r="BJ48" s="40"/>
      <c r="BK48" s="41">
        <v>8</v>
      </c>
      <c r="BL48" s="40">
        <f>20</f>
        <v>20</v>
      </c>
      <c r="BM48" s="41"/>
      <c r="BN48" s="40"/>
      <c r="BO48" s="41"/>
      <c r="BP48" s="42"/>
      <c r="BQ48" s="43">
        <f>BS48+BU48</f>
        <v>0</v>
      </c>
      <c r="BR48" s="41"/>
      <c r="BS48" s="40"/>
      <c r="BT48" s="41"/>
      <c r="BU48" s="40"/>
      <c r="BV48" s="35">
        <v>9</v>
      </c>
      <c r="BW48" s="35" t="s">
        <v>110</v>
      </c>
      <c r="BX48" s="99">
        <v>9</v>
      </c>
      <c r="BY48" s="100" t="s">
        <v>110</v>
      </c>
      <c r="BZ48" s="43">
        <f>CB48+CD48+CF48+CH48+CJ48</f>
        <v>0</v>
      </c>
      <c r="CA48" s="106"/>
      <c r="CB48" s="102"/>
      <c r="CC48" s="41"/>
      <c r="CD48" s="40"/>
      <c r="CE48" s="41"/>
      <c r="CF48" s="40"/>
      <c r="CG48" s="41"/>
      <c r="CH48" s="41"/>
      <c r="CI48" s="90"/>
      <c r="CJ48" s="98"/>
      <c r="CK48" s="43">
        <f>CM48+CO48+CQ48+CS48</f>
        <v>0</v>
      </c>
      <c r="CL48" s="41"/>
      <c r="CM48" s="40"/>
      <c r="CN48" s="41"/>
      <c r="CO48" s="40"/>
      <c r="CP48" s="41"/>
      <c r="CQ48" s="41"/>
      <c r="CR48" s="90"/>
      <c r="CS48" s="98"/>
      <c r="CT48" s="43">
        <f>CV48+CX48+CZ48+DB48</f>
        <v>0</v>
      </c>
      <c r="CU48" s="41"/>
      <c r="CV48" s="40"/>
      <c r="CW48" s="40"/>
      <c r="CX48" s="40"/>
      <c r="CY48" s="40"/>
      <c r="CZ48" s="40"/>
      <c r="DA48" s="90"/>
      <c r="DB48" s="98"/>
      <c r="DC48" s="43">
        <f t="shared" si="13"/>
        <v>0</v>
      </c>
      <c r="DD48" s="41"/>
      <c r="DE48" s="40"/>
      <c r="DF48" s="40"/>
      <c r="DG48" s="40"/>
      <c r="DH48" s="40"/>
      <c r="DI48" s="40"/>
      <c r="DJ48" s="90"/>
      <c r="DK48" s="98"/>
    </row>
    <row r="49" spans="1:115" s="1" customFormat="1" ht="15" customHeight="1" x14ac:dyDescent="0.3">
      <c r="A49" s="2">
        <v>4</v>
      </c>
      <c r="B49" s="14">
        <v>9724</v>
      </c>
      <c r="C49" s="5" t="s">
        <v>127</v>
      </c>
      <c r="D49" s="15">
        <v>2010</v>
      </c>
      <c r="E49" s="16">
        <f t="shared" ref="E49:E80" si="27">J49+O49+R49+AC49+AN49+AW49+BF49+BQ49+BZ49+CK49+CT49+DC49</f>
        <v>72</v>
      </c>
      <c r="F49" s="37" t="s">
        <v>179</v>
      </c>
      <c r="G49" s="37"/>
      <c r="H49" s="37" t="s">
        <v>279</v>
      </c>
      <c r="I49" s="37"/>
      <c r="J49" s="38"/>
      <c r="K49" s="39"/>
      <c r="L49" s="40"/>
      <c r="M49" s="41"/>
      <c r="N49" s="42"/>
      <c r="O49" s="38"/>
      <c r="P49" s="39"/>
      <c r="Q49" s="42"/>
      <c r="R49" s="43"/>
      <c r="S49" s="44"/>
      <c r="T49" s="45"/>
      <c r="U49" s="44"/>
      <c r="V49" s="45"/>
      <c r="W49" s="44"/>
      <c r="X49" s="45"/>
      <c r="Y49" s="44"/>
      <c r="Z49" s="45"/>
      <c r="AA49" s="44"/>
      <c r="AB49" s="78"/>
      <c r="AC49" s="82"/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/>
      <c r="AO49" s="41"/>
      <c r="AP49" s="40"/>
      <c r="AQ49" s="41"/>
      <c r="AR49" s="40"/>
      <c r="AS49" s="41"/>
      <c r="AT49" s="40"/>
      <c r="AU49" s="41"/>
      <c r="AV49" s="42"/>
      <c r="AW49" s="43"/>
      <c r="AX49" s="41"/>
      <c r="AY49" s="40"/>
      <c r="AZ49" s="41"/>
      <c r="BA49" s="40"/>
      <c r="BB49" s="41"/>
      <c r="BC49" s="40"/>
      <c r="BD49" s="41"/>
      <c r="BE49" s="42"/>
      <c r="BF49" s="43"/>
      <c r="BG49" s="41"/>
      <c r="BH49" s="40"/>
      <c r="BI49" s="41"/>
      <c r="BJ49" s="40"/>
      <c r="BK49" s="41"/>
      <c r="BL49" s="40"/>
      <c r="BM49" s="41"/>
      <c r="BN49" s="40"/>
      <c r="BO49" s="41"/>
      <c r="BP49" s="42"/>
      <c r="BQ49" s="43"/>
      <c r="BR49" s="41"/>
      <c r="BS49" s="40"/>
      <c r="BT49" s="41"/>
      <c r="BU49" s="40"/>
      <c r="BV49" s="41"/>
      <c r="BW49" s="40"/>
      <c r="BX49" s="41"/>
      <c r="BY49" s="42"/>
      <c r="BZ49" s="43"/>
      <c r="CA49" s="106"/>
      <c r="CB49" s="102"/>
      <c r="CC49" s="41"/>
      <c r="CD49" s="40"/>
      <c r="CE49" s="41"/>
      <c r="CF49" s="40"/>
      <c r="CG49" s="41"/>
      <c r="CH49" s="40"/>
      <c r="CI49" s="41"/>
      <c r="CJ49" s="42"/>
      <c r="CK49" s="43"/>
      <c r="CL49" s="41"/>
      <c r="CM49" s="40"/>
      <c r="CN49" s="41"/>
      <c r="CO49" s="40"/>
      <c r="CP49" s="41"/>
      <c r="CQ49" s="40"/>
      <c r="CR49" s="41"/>
      <c r="CS49" s="42"/>
      <c r="CT49" s="43"/>
      <c r="CU49" s="41"/>
      <c r="CV49" s="40"/>
      <c r="CW49" s="40"/>
      <c r="CX49" s="40"/>
      <c r="CY49" s="40"/>
      <c r="CZ49" s="40"/>
      <c r="DA49" s="41"/>
      <c r="DB49" s="42"/>
      <c r="DC49" s="43">
        <f t="shared" ref="DC49:DC80" si="28">DE49+DG49+DI49+DK49</f>
        <v>72</v>
      </c>
      <c r="DD49" s="41"/>
      <c r="DE49" s="40"/>
      <c r="DF49" s="41"/>
      <c r="DG49" s="40"/>
      <c r="DH49" s="41">
        <v>2</v>
      </c>
      <c r="DI49" s="40">
        <f>60*0.4</f>
        <v>24</v>
      </c>
      <c r="DJ49" s="86">
        <v>1</v>
      </c>
      <c r="DK49" s="88">
        <f>80*0.4*1.5</f>
        <v>48</v>
      </c>
    </row>
    <row r="50" spans="1:115" s="1" customFormat="1" ht="15" customHeight="1" x14ac:dyDescent="0.3">
      <c r="A50" s="126">
        <v>5</v>
      </c>
      <c r="B50" s="127">
        <v>6949</v>
      </c>
      <c r="C50" s="128" t="s">
        <v>81</v>
      </c>
      <c r="D50" s="129">
        <v>2010</v>
      </c>
      <c r="E50" s="130">
        <f t="shared" si="27"/>
        <v>72</v>
      </c>
      <c r="F50" s="131" t="s">
        <v>179</v>
      </c>
      <c r="G50" s="37"/>
      <c r="H50" s="37" t="s">
        <v>223</v>
      </c>
      <c r="I50" s="37"/>
      <c r="J50" s="38"/>
      <c r="K50" s="39"/>
      <c r="L50" s="40"/>
      <c r="M50" s="41"/>
      <c r="N50" s="42"/>
      <c r="O50" s="38"/>
      <c r="P50" s="39"/>
      <c r="Q50" s="42"/>
      <c r="R50" s="43"/>
      <c r="S50" s="44"/>
      <c r="T50" s="45"/>
      <c r="U50" s="44"/>
      <c r="V50" s="45"/>
      <c r="W50" s="44"/>
      <c r="X50" s="45"/>
      <c r="Y50" s="44"/>
      <c r="Z50" s="45"/>
      <c r="AA50" s="44"/>
      <c r="AB50" s="78"/>
      <c r="AC50" s="82"/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/>
      <c r="AO50" s="41"/>
      <c r="AP50" s="40"/>
      <c r="AQ50" s="41"/>
      <c r="AR50" s="40"/>
      <c r="AS50" s="41"/>
      <c r="AT50" s="40"/>
      <c r="AU50" s="41"/>
      <c r="AV50" s="42"/>
      <c r="AW50" s="43"/>
      <c r="AX50" s="41"/>
      <c r="AY50" s="40"/>
      <c r="AZ50" s="41"/>
      <c r="BA50" s="40"/>
      <c r="BB50" s="41"/>
      <c r="BC50" s="40"/>
      <c r="BD50" s="86"/>
      <c r="BE50" s="88"/>
      <c r="BF50" s="43"/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/>
      <c r="BR50" s="41"/>
      <c r="BS50" s="40"/>
      <c r="BT50" s="41"/>
      <c r="BU50" s="40"/>
      <c r="BV50" s="41"/>
      <c r="BW50" s="40"/>
      <c r="BX50" s="41"/>
      <c r="BY50" s="42"/>
      <c r="BZ50" s="43"/>
      <c r="CA50" s="106"/>
      <c r="CB50" s="102"/>
      <c r="CC50" s="41"/>
      <c r="CD50" s="40"/>
      <c r="CE50" s="41"/>
      <c r="CF50" s="40"/>
      <c r="CG50" s="41"/>
      <c r="CH50" s="40"/>
      <c r="CI50" s="41"/>
      <c r="CJ50" s="42"/>
      <c r="CK50" s="43"/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132">
        <f t="shared" si="28"/>
        <v>72</v>
      </c>
      <c r="DD50" s="41"/>
      <c r="DE50" s="40"/>
      <c r="DF50" s="41"/>
      <c r="DG50" s="40"/>
      <c r="DH50" s="41">
        <v>2</v>
      </c>
      <c r="DI50" s="40">
        <f>60*0.4</f>
        <v>24</v>
      </c>
      <c r="DJ50" s="86">
        <v>1</v>
      </c>
      <c r="DK50" s="88">
        <f>80*0.4*1.5</f>
        <v>48</v>
      </c>
    </row>
    <row r="51" spans="1:115" s="1" customFormat="1" ht="15" hidden="1" customHeight="1" x14ac:dyDescent="0.3">
      <c r="A51" s="2">
        <f t="shared" si="26"/>
        <v>6</v>
      </c>
      <c r="B51" s="14">
        <v>6088</v>
      </c>
      <c r="C51" s="5" t="s">
        <v>70</v>
      </c>
      <c r="D51" s="15">
        <v>2008</v>
      </c>
      <c r="E51" s="16">
        <f t="shared" si="27"/>
        <v>37.099999999999994</v>
      </c>
      <c r="F51" s="37" t="s">
        <v>151</v>
      </c>
      <c r="G51" s="37"/>
      <c r="H51" s="37" t="s">
        <v>193</v>
      </c>
      <c r="I51" s="37"/>
      <c r="J51" s="38">
        <f>L51+N51</f>
        <v>0</v>
      </c>
      <c r="K51" s="39"/>
      <c r="L51" s="40"/>
      <c r="M51" s="41"/>
      <c r="N51" s="42"/>
      <c r="O51" s="38">
        <f>Q51</f>
        <v>0</v>
      </c>
      <c r="P51" s="39"/>
      <c r="Q51" s="42"/>
      <c r="R51" s="43">
        <f>T51+V51+X51+Z51+AB51</f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82">
        <f>AE51+AG51+AI51+AK51+AM51</f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>
        <f>AP51+AR51+AT51+AV51</f>
        <v>0</v>
      </c>
      <c r="AO51" s="41"/>
      <c r="AP51" s="40"/>
      <c r="AQ51" s="41"/>
      <c r="AR51" s="40"/>
      <c r="AS51" s="41"/>
      <c r="AT51" s="40"/>
      <c r="AU51" s="41"/>
      <c r="AV51" s="42"/>
      <c r="AW51" s="43">
        <f>AY51+BA51+BC51+BE51</f>
        <v>37.099999999999994</v>
      </c>
      <c r="AX51" s="41"/>
      <c r="AY51" s="40"/>
      <c r="AZ51" s="41"/>
      <c r="BA51" s="40"/>
      <c r="BB51" s="41">
        <v>5</v>
      </c>
      <c r="BC51" s="40">
        <f>26*0.7</f>
        <v>18.2</v>
      </c>
      <c r="BD51" s="86">
        <v>7</v>
      </c>
      <c r="BE51" s="88">
        <f>18*0.7*1.5</f>
        <v>18.899999999999999</v>
      </c>
      <c r="BF51" s="43">
        <f>BH51+BJ51+BL51+BN51+BP51</f>
        <v>0</v>
      </c>
      <c r="BG51" s="41"/>
      <c r="BH51" s="40"/>
      <c r="BI51" s="41"/>
      <c r="BJ51" s="40"/>
      <c r="BK51" s="41"/>
      <c r="BL51" s="40"/>
      <c r="BM51" s="41"/>
      <c r="BN51" s="40"/>
      <c r="BO51" s="41"/>
      <c r="BP51" s="42"/>
      <c r="BQ51" s="43">
        <f>BS51+BU51+BW51+BY51</f>
        <v>0</v>
      </c>
      <c r="BR51" s="41"/>
      <c r="BS51" s="40"/>
      <c r="BT51" s="41"/>
      <c r="BU51" s="40"/>
      <c r="BV51" s="41"/>
      <c r="BW51" s="40"/>
      <c r="BX51" s="41"/>
      <c r="BY51" s="42"/>
      <c r="BZ51" s="43">
        <f>CB51+CD51+CF51+CH51+CJ51</f>
        <v>0</v>
      </c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43">
        <f>CM51+CO51+CQ51+CS51</f>
        <v>0</v>
      </c>
      <c r="CL51" s="41"/>
      <c r="CM51" s="40"/>
      <c r="CN51" s="41"/>
      <c r="CO51" s="40"/>
      <c r="CP51" s="41"/>
      <c r="CQ51" s="40"/>
      <c r="CR51" s="41"/>
      <c r="CS51" s="42"/>
      <c r="CT51" s="43">
        <f>CV51+CX51+CZ51+DB51</f>
        <v>0</v>
      </c>
      <c r="CU51" s="41"/>
      <c r="CV51" s="40"/>
      <c r="CW51" s="40"/>
      <c r="CX51" s="40"/>
      <c r="CY51" s="40"/>
      <c r="CZ51" s="40"/>
      <c r="DA51" s="41"/>
      <c r="DB51" s="42"/>
      <c r="DC51" s="43">
        <f t="shared" si="28"/>
        <v>0</v>
      </c>
      <c r="DD51" s="41"/>
      <c r="DE51" s="40"/>
      <c r="DF51" s="40"/>
      <c r="DG51" s="40"/>
      <c r="DH51" s="40"/>
      <c r="DI51" s="40"/>
      <c r="DJ51" s="41"/>
      <c r="DK51" s="42"/>
    </row>
    <row r="52" spans="1:115" s="1" customFormat="1" ht="15" hidden="1" customHeight="1" x14ac:dyDescent="0.3">
      <c r="A52" s="2">
        <f t="shared" si="26"/>
        <v>7</v>
      </c>
      <c r="B52" s="14">
        <v>5919</v>
      </c>
      <c r="C52" s="5" t="s">
        <v>49</v>
      </c>
      <c r="D52" s="15">
        <v>2007</v>
      </c>
      <c r="E52" s="16">
        <f t="shared" si="27"/>
        <v>36.549999999999997</v>
      </c>
      <c r="F52" s="37" t="s">
        <v>162</v>
      </c>
      <c r="G52" s="37"/>
      <c r="H52" s="37" t="s">
        <v>208</v>
      </c>
      <c r="I52" s="37"/>
      <c r="J52" s="38">
        <f>L52+N52</f>
        <v>0</v>
      </c>
      <c r="K52" s="39"/>
      <c r="L52" s="40"/>
      <c r="M52" s="41"/>
      <c r="N52" s="42"/>
      <c r="O52" s="38">
        <f>Q52</f>
        <v>0</v>
      </c>
      <c r="P52" s="39"/>
      <c r="Q52" s="42"/>
      <c r="R52" s="43">
        <f>T52+V52+X52+Z52+AB52</f>
        <v>0</v>
      </c>
      <c r="S52" s="44"/>
      <c r="T52" s="45"/>
      <c r="U52" s="44"/>
      <c r="V52" s="45"/>
      <c r="W52" s="44"/>
      <c r="X52" s="45"/>
      <c r="Y52" s="44"/>
      <c r="Z52" s="45"/>
      <c r="AA52" s="44"/>
      <c r="AB52" s="78"/>
      <c r="AC52" s="82">
        <f>AE52+AG52+AI52+AK52+AM52</f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>AP52+AR52+AT52+AV52</f>
        <v>20.8</v>
      </c>
      <c r="AO52" s="41"/>
      <c r="AP52" s="40"/>
      <c r="AQ52" s="41"/>
      <c r="AR52" s="40"/>
      <c r="AS52" s="41">
        <v>5</v>
      </c>
      <c r="AT52" s="40">
        <f>26*0.8</f>
        <v>20.8</v>
      </c>
      <c r="AU52" s="41"/>
      <c r="AV52" s="42"/>
      <c r="AW52" s="43">
        <f>AY52+BA52+BC52+BE52</f>
        <v>15.75</v>
      </c>
      <c r="AX52" s="41"/>
      <c r="AY52" s="40"/>
      <c r="AZ52" s="41"/>
      <c r="BA52" s="40"/>
      <c r="BB52" s="41"/>
      <c r="BC52" s="40"/>
      <c r="BD52" s="86">
        <v>8</v>
      </c>
      <c r="BE52" s="88">
        <f>15*0.7*1.5</f>
        <v>15.75</v>
      </c>
      <c r="BF52" s="43">
        <f>BH52+BJ52+BL52+BN52</f>
        <v>0</v>
      </c>
      <c r="BG52" s="41"/>
      <c r="BH52" s="40"/>
      <c r="BI52" s="41"/>
      <c r="BJ52" s="40"/>
      <c r="BK52" s="41"/>
      <c r="BL52" s="40"/>
      <c r="BM52" s="41"/>
      <c r="BN52" s="40"/>
      <c r="BO52" s="35">
        <v>7</v>
      </c>
      <c r="BP52" s="89" t="s">
        <v>110</v>
      </c>
      <c r="BQ52" s="43">
        <f>BS52+BU52+BW52+BY52</f>
        <v>0</v>
      </c>
      <c r="BR52" s="41"/>
      <c r="BS52" s="40"/>
      <c r="BT52" s="41"/>
      <c r="BU52" s="40"/>
      <c r="BV52" s="41"/>
      <c r="BW52" s="40"/>
      <c r="BX52" s="41"/>
      <c r="BY52" s="53"/>
      <c r="BZ52" s="43">
        <f>CB52+CD52+CF52+CH52+CJ52</f>
        <v>0</v>
      </c>
      <c r="CA52" s="106"/>
      <c r="CB52" s="102"/>
      <c r="CC52" s="41"/>
      <c r="CD52" s="40"/>
      <c r="CE52" s="41"/>
      <c r="CF52" s="40"/>
      <c r="CG52" s="41"/>
      <c r="CH52" s="40"/>
      <c r="CI52" s="41"/>
      <c r="CJ52" s="53"/>
      <c r="CK52" s="43">
        <f>CM52+CO52+CQ52+CS52</f>
        <v>0</v>
      </c>
      <c r="CL52" s="41"/>
      <c r="CM52" s="40"/>
      <c r="CN52" s="41"/>
      <c r="CO52" s="40"/>
      <c r="CP52" s="41"/>
      <c r="CQ52" s="40"/>
      <c r="CR52" s="41"/>
      <c r="CS52" s="53"/>
      <c r="CT52" s="43">
        <f>CV52+CX52+CZ52+DB52</f>
        <v>0</v>
      </c>
      <c r="CU52" s="41"/>
      <c r="CV52" s="40"/>
      <c r="CW52" s="40"/>
      <c r="CX52" s="40"/>
      <c r="CY52" s="40"/>
      <c r="CZ52" s="40"/>
      <c r="DA52" s="41"/>
      <c r="DB52" s="53"/>
      <c r="DC52" s="43">
        <f t="shared" si="28"/>
        <v>0</v>
      </c>
      <c r="DD52" s="41"/>
      <c r="DE52" s="40"/>
      <c r="DF52" s="40"/>
      <c r="DG52" s="40"/>
      <c r="DH52" s="40"/>
      <c r="DI52" s="40"/>
      <c r="DJ52" s="41"/>
      <c r="DK52" s="53"/>
    </row>
    <row r="53" spans="1:115" s="1" customFormat="1" ht="15" hidden="1" customHeight="1" x14ac:dyDescent="0.3">
      <c r="A53" s="2">
        <f t="shared" si="26"/>
        <v>8</v>
      </c>
      <c r="B53" s="14">
        <v>89</v>
      </c>
      <c r="C53" s="5" t="s">
        <v>242</v>
      </c>
      <c r="D53" s="15">
        <v>2012</v>
      </c>
      <c r="E53" s="16">
        <f t="shared" si="27"/>
        <v>36</v>
      </c>
      <c r="F53" s="37" t="s">
        <v>153</v>
      </c>
      <c r="G53" s="37"/>
      <c r="H53" s="37" t="s">
        <v>244</v>
      </c>
      <c r="I53" s="37" t="s">
        <v>243</v>
      </c>
      <c r="J53" s="38">
        <f>L53+N53</f>
        <v>0</v>
      </c>
      <c r="K53" s="39"/>
      <c r="L53" s="40"/>
      <c r="M53" s="41"/>
      <c r="N53" s="42"/>
      <c r="O53" s="38">
        <f>Q53</f>
        <v>0</v>
      </c>
      <c r="P53" s="39"/>
      <c r="Q53" s="42"/>
      <c r="R53" s="43">
        <f>T53+V53+X53+Z53+AB53</f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>
        <f>AE53+AG53+AI53+AK53+AM53</f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>
        <f>AP53+AR53+AT53+AV53</f>
        <v>0</v>
      </c>
      <c r="AO53" s="41"/>
      <c r="AP53" s="40"/>
      <c r="AQ53" s="41"/>
      <c r="AR53" s="40"/>
      <c r="AS53" s="41"/>
      <c r="AT53" s="40"/>
      <c r="AU53" s="41"/>
      <c r="AV53" s="42"/>
      <c r="AW53" s="43">
        <f>AY53+BA53+BC53+BE53</f>
        <v>0</v>
      </c>
      <c r="AX53" s="41"/>
      <c r="AY53" s="40"/>
      <c r="AZ53" s="41"/>
      <c r="BA53" s="40"/>
      <c r="BB53" s="41"/>
      <c r="BC53" s="40"/>
      <c r="BD53" s="41"/>
      <c r="BE53" s="42"/>
      <c r="BF53" s="43">
        <f>BH53+BJ53+BL53+BN53+BP53</f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>
        <f>BS53+BU53+BW53+BY53</f>
        <v>0</v>
      </c>
      <c r="BR53" s="41"/>
      <c r="BS53" s="40"/>
      <c r="BT53" s="41"/>
      <c r="BU53" s="40"/>
      <c r="BV53" s="41"/>
      <c r="BW53" s="40"/>
      <c r="BX53" s="41"/>
      <c r="BY53" s="42"/>
      <c r="BZ53" s="43">
        <f>CB53+CD53+CF53+CH53+CJ53</f>
        <v>0</v>
      </c>
      <c r="CA53" s="106"/>
      <c r="CB53" s="102"/>
      <c r="CC53" s="41"/>
      <c r="CD53" s="40"/>
      <c r="CE53" s="41"/>
      <c r="CF53" s="40"/>
      <c r="CG53" s="41"/>
      <c r="CH53" s="40"/>
      <c r="CI53" s="41"/>
      <c r="CJ53" s="42"/>
      <c r="CK53" s="43">
        <f>CM53+CO53+CQ53+CS53</f>
        <v>0</v>
      </c>
      <c r="CL53" s="41"/>
      <c r="CM53" s="40"/>
      <c r="CN53" s="41"/>
      <c r="CO53" s="40"/>
      <c r="CP53" s="41"/>
      <c r="CQ53" s="40"/>
      <c r="CR53" s="41"/>
      <c r="CS53" s="42"/>
      <c r="CT53" s="43">
        <f>CV53+CX53+CZ53+DB53</f>
        <v>36</v>
      </c>
      <c r="CU53" s="86">
        <v>4</v>
      </c>
      <c r="CV53" s="87">
        <f>40*0.3*1.5</f>
        <v>18</v>
      </c>
      <c r="CW53" s="41">
        <v>3</v>
      </c>
      <c r="CX53" s="40">
        <f>60*0.3</f>
        <v>18</v>
      </c>
      <c r="CY53" s="40"/>
      <c r="CZ53" s="40"/>
      <c r="DA53" s="41"/>
      <c r="DB53" s="42"/>
      <c r="DC53" s="43">
        <f t="shared" si="28"/>
        <v>0</v>
      </c>
      <c r="DD53" s="41"/>
      <c r="DE53" s="40"/>
      <c r="DF53" s="40"/>
      <c r="DG53" s="40"/>
      <c r="DH53" s="40"/>
      <c r="DI53" s="40"/>
      <c r="DJ53" s="41"/>
      <c r="DK53" s="42"/>
    </row>
    <row r="54" spans="1:115" s="1" customFormat="1" ht="15" customHeight="1" x14ac:dyDescent="0.3">
      <c r="A54" s="2"/>
      <c r="B54" s="14">
        <v>9790</v>
      </c>
      <c r="C54" s="5" t="s">
        <v>142</v>
      </c>
      <c r="D54" s="15">
        <v>2010</v>
      </c>
      <c r="E54" s="16">
        <f t="shared" si="27"/>
        <v>68</v>
      </c>
      <c r="F54" s="37" t="s">
        <v>157</v>
      </c>
      <c r="G54" s="37"/>
      <c r="H54" s="37" t="s">
        <v>252</v>
      </c>
      <c r="I54" s="37"/>
      <c r="J54" s="38"/>
      <c r="K54" s="39"/>
      <c r="L54" s="40"/>
      <c r="M54" s="41"/>
      <c r="N54" s="42"/>
      <c r="O54" s="38"/>
      <c r="P54" s="39"/>
      <c r="Q54" s="42"/>
      <c r="R54" s="43"/>
      <c r="S54" s="44"/>
      <c r="T54" s="45"/>
      <c r="U54" s="44"/>
      <c r="V54" s="45"/>
      <c r="W54" s="44"/>
      <c r="X54" s="45"/>
      <c r="Y54" s="44"/>
      <c r="Z54" s="45"/>
      <c r="AA54" s="44"/>
      <c r="AB54" s="78"/>
      <c r="AC54" s="82"/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/>
      <c r="AO54" s="41"/>
      <c r="AP54" s="40"/>
      <c r="AQ54" s="41"/>
      <c r="AR54" s="40"/>
      <c r="AS54" s="41"/>
      <c r="AT54" s="40"/>
      <c r="AU54" s="41"/>
      <c r="AV54" s="42"/>
      <c r="AW54" s="43"/>
      <c r="AX54" s="41"/>
      <c r="AY54" s="40"/>
      <c r="AZ54" s="41"/>
      <c r="BA54" s="40"/>
      <c r="BB54" s="41"/>
      <c r="BC54" s="40"/>
      <c r="BD54" s="41"/>
      <c r="BE54" s="42"/>
      <c r="BF54" s="43"/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/>
      <c r="BR54" s="41"/>
      <c r="BS54" s="40"/>
      <c r="BT54" s="41"/>
      <c r="BU54" s="40"/>
      <c r="BV54" s="41"/>
      <c r="BW54" s="40"/>
      <c r="BX54" s="41"/>
      <c r="BY54" s="42"/>
      <c r="BZ54" s="43"/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/>
      <c r="CL54" s="41"/>
      <c r="CM54" s="40"/>
      <c r="CN54" s="41"/>
      <c r="CO54" s="40"/>
      <c r="CP54" s="41"/>
      <c r="CQ54" s="40"/>
      <c r="CR54" s="41"/>
      <c r="CS54" s="42"/>
      <c r="CT54" s="43"/>
      <c r="CU54" s="41"/>
      <c r="CV54" s="40"/>
      <c r="CW54" s="40"/>
      <c r="CX54" s="40"/>
      <c r="CY54" s="40"/>
      <c r="CZ54" s="40"/>
      <c r="DA54" s="41"/>
      <c r="DB54" s="42"/>
      <c r="DC54" s="43">
        <f t="shared" si="28"/>
        <v>68</v>
      </c>
      <c r="DD54" s="41"/>
      <c r="DE54" s="40"/>
      <c r="DF54" s="41"/>
      <c r="DG54" s="40"/>
      <c r="DH54" s="41">
        <v>1</v>
      </c>
      <c r="DI54" s="40">
        <f>80*0.4</f>
        <v>32</v>
      </c>
      <c r="DJ54" s="86">
        <v>2</v>
      </c>
      <c r="DK54" s="88">
        <f>60*0.4*1.5</f>
        <v>36</v>
      </c>
    </row>
    <row r="55" spans="1:115" s="1" customFormat="1" ht="15" hidden="1" customHeight="1" x14ac:dyDescent="0.3">
      <c r="A55" s="2">
        <f t="shared" si="26"/>
        <v>1</v>
      </c>
      <c r="B55" s="14">
        <v>6036</v>
      </c>
      <c r="C55" s="5" t="s">
        <v>221</v>
      </c>
      <c r="D55" s="15">
        <v>2008</v>
      </c>
      <c r="E55" s="16">
        <f t="shared" si="27"/>
        <v>35.699999999999996</v>
      </c>
      <c r="F55" s="37" t="s">
        <v>215</v>
      </c>
      <c r="G55" s="37"/>
      <c r="H55" s="37" t="s">
        <v>216</v>
      </c>
      <c r="I55" s="37" t="s">
        <v>222</v>
      </c>
      <c r="J55" s="38">
        <f>L55+N55</f>
        <v>0</v>
      </c>
      <c r="K55" s="39"/>
      <c r="L55" s="40"/>
      <c r="M55" s="41"/>
      <c r="N55" s="42"/>
      <c r="O55" s="38">
        <f>Q55</f>
        <v>0</v>
      </c>
      <c r="P55" s="39"/>
      <c r="Q55" s="42"/>
      <c r="R55" s="43">
        <f>T55+V55+X55+Z55+AB55</f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>AE55+AG55+AI55+AK55+AM55</f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>
        <f>AP55+AR55</f>
        <v>0</v>
      </c>
      <c r="AO55" s="41"/>
      <c r="AP55" s="40"/>
      <c r="AQ55" s="41"/>
      <c r="AR55" s="40"/>
      <c r="AS55" s="41"/>
      <c r="AT55" s="41"/>
      <c r="AU55" s="41"/>
      <c r="AV55" s="53"/>
      <c r="AW55" s="43">
        <f>AY55+BA55+BC55+BE55</f>
        <v>35.699999999999996</v>
      </c>
      <c r="AX55" s="41"/>
      <c r="AY55" s="40"/>
      <c r="AZ55" s="41"/>
      <c r="BA55" s="40"/>
      <c r="BB55" s="41">
        <v>7</v>
      </c>
      <c r="BC55" s="40">
        <f>18*0.7</f>
        <v>12.6</v>
      </c>
      <c r="BD55" s="86">
        <v>6</v>
      </c>
      <c r="BE55" s="92">
        <f>22*0.7*1.5</f>
        <v>23.099999999999998</v>
      </c>
      <c r="BF55" s="43">
        <f>BH55+BJ55+BL55+BN55+BP55</f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97"/>
      <c r="BQ55" s="43">
        <f>BS55+BU55+BW55+BY55</f>
        <v>0</v>
      </c>
      <c r="BR55" s="41"/>
      <c r="BS55" s="40"/>
      <c r="BT55" s="41"/>
      <c r="BU55" s="40"/>
      <c r="BV55" s="41"/>
      <c r="BW55" s="40"/>
      <c r="BX55" s="41"/>
      <c r="BY55" s="97"/>
      <c r="BZ55" s="43">
        <f>CB55+CD55+CF55+CH55+CJ55</f>
        <v>0</v>
      </c>
      <c r="CA55" s="106"/>
      <c r="CB55" s="102"/>
      <c r="CC55" s="41"/>
      <c r="CD55" s="40"/>
      <c r="CE55" s="41"/>
      <c r="CF55" s="40"/>
      <c r="CG55" s="41"/>
      <c r="CH55" s="40"/>
      <c r="CI55" s="41"/>
      <c r="CJ55" s="97"/>
      <c r="CK55" s="43">
        <f>CM55+CO55+CQ55+CS55</f>
        <v>0</v>
      </c>
      <c r="CL55" s="41"/>
      <c r="CM55" s="40"/>
      <c r="CN55" s="41"/>
      <c r="CO55" s="40"/>
      <c r="CP55" s="41"/>
      <c r="CQ55" s="40"/>
      <c r="CR55" s="41"/>
      <c r="CS55" s="97"/>
      <c r="CT55" s="43">
        <f>CV55+CX55+CZ55+DB55</f>
        <v>0</v>
      </c>
      <c r="CU55" s="41"/>
      <c r="CV55" s="40"/>
      <c r="CW55" s="40"/>
      <c r="CX55" s="40"/>
      <c r="CY55" s="40"/>
      <c r="CZ55" s="40"/>
      <c r="DA55" s="41"/>
      <c r="DB55" s="97"/>
      <c r="DC55" s="43">
        <f t="shared" si="28"/>
        <v>0</v>
      </c>
      <c r="DD55" s="41"/>
      <c r="DE55" s="40"/>
      <c r="DF55" s="40"/>
      <c r="DG55" s="40"/>
      <c r="DH55" s="40"/>
      <c r="DI55" s="40"/>
      <c r="DJ55" s="41"/>
      <c r="DK55" s="97"/>
    </row>
    <row r="56" spans="1:115" s="1" customFormat="1" ht="15" customHeight="1" x14ac:dyDescent="0.3">
      <c r="A56" s="126">
        <v>7</v>
      </c>
      <c r="B56" s="127">
        <v>6705</v>
      </c>
      <c r="C56" s="128" t="s">
        <v>83</v>
      </c>
      <c r="D56" s="129">
        <v>2009</v>
      </c>
      <c r="E56" s="130">
        <f t="shared" si="27"/>
        <v>67.599999999999994</v>
      </c>
      <c r="F56" s="131" t="s">
        <v>153</v>
      </c>
      <c r="G56" s="37"/>
      <c r="H56" s="37" t="s">
        <v>188</v>
      </c>
      <c r="I56" s="37"/>
      <c r="J56" s="38"/>
      <c r="K56" s="39"/>
      <c r="L56" s="40"/>
      <c r="M56" s="41"/>
      <c r="N56" s="42"/>
      <c r="O56" s="38"/>
      <c r="P56" s="39"/>
      <c r="Q56" s="42"/>
      <c r="R56" s="43"/>
      <c r="S56" s="44"/>
      <c r="T56" s="45"/>
      <c r="U56" s="44"/>
      <c r="V56" s="45"/>
      <c r="W56" s="96"/>
      <c r="X56" s="45"/>
      <c r="Y56" s="44"/>
      <c r="Z56" s="45"/>
      <c r="AA56" s="44"/>
      <c r="AB56" s="78"/>
      <c r="AC56" s="82"/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/>
      <c r="AO56" s="41"/>
      <c r="AP56" s="40"/>
      <c r="AQ56" s="41"/>
      <c r="AR56" s="40"/>
      <c r="AS56" s="41"/>
      <c r="AT56" s="40"/>
      <c r="AU56" s="41"/>
      <c r="AV56" s="42"/>
      <c r="AW56" s="43"/>
      <c r="AX56" s="86"/>
      <c r="AY56" s="87"/>
      <c r="AZ56" s="41"/>
      <c r="BA56" s="40"/>
      <c r="BB56" s="41"/>
      <c r="BC56" s="40"/>
      <c r="BD56" s="41"/>
      <c r="BE56" s="42"/>
      <c r="BF56" s="43"/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43"/>
      <c r="BR56" s="41"/>
      <c r="BS56" s="40"/>
      <c r="BT56" s="41"/>
      <c r="BU56" s="40"/>
      <c r="BV56" s="41"/>
      <c r="BW56" s="40"/>
      <c r="BX56" s="41"/>
      <c r="BY56" s="42"/>
      <c r="BZ56" s="43"/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/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132">
        <f t="shared" si="28"/>
        <v>67.599999999999994</v>
      </c>
      <c r="DD56" s="86">
        <v>3</v>
      </c>
      <c r="DE56" s="87">
        <f>60*0.4*1.5</f>
        <v>36</v>
      </c>
      <c r="DF56" s="41">
        <v>4</v>
      </c>
      <c r="DG56" s="40">
        <f>40*0.4</f>
        <v>16</v>
      </c>
      <c r="DH56" s="41"/>
      <c r="DI56" s="40"/>
      <c r="DJ56" s="86">
        <v>5</v>
      </c>
      <c r="DK56" s="88">
        <f>26*0.4*1.5</f>
        <v>15.600000000000001</v>
      </c>
    </row>
    <row r="57" spans="1:115" s="1" customFormat="1" ht="15" customHeight="1" x14ac:dyDescent="0.3">
      <c r="A57" s="2">
        <v>8</v>
      </c>
      <c r="B57" s="14">
        <v>6838</v>
      </c>
      <c r="C57" s="5" t="s">
        <v>80</v>
      </c>
      <c r="D57" s="15">
        <v>2009</v>
      </c>
      <c r="E57" s="16">
        <f t="shared" si="27"/>
        <v>54</v>
      </c>
      <c r="F57" s="37" t="s">
        <v>174</v>
      </c>
      <c r="G57" s="37"/>
      <c r="H57" s="37" t="s">
        <v>280</v>
      </c>
      <c r="I57" s="37"/>
      <c r="J57" s="38"/>
      <c r="K57" s="39"/>
      <c r="L57" s="40"/>
      <c r="M57" s="41"/>
      <c r="N57" s="42"/>
      <c r="O57" s="38"/>
      <c r="P57" s="39"/>
      <c r="Q57" s="42"/>
      <c r="R57" s="43"/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/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/>
      <c r="AO57" s="41"/>
      <c r="AP57" s="40"/>
      <c r="AQ57" s="41"/>
      <c r="AR57" s="40"/>
      <c r="AS57" s="41"/>
      <c r="AT57" s="40"/>
      <c r="AU57" s="41"/>
      <c r="AV57" s="42"/>
      <c r="AW57" s="43"/>
      <c r="AX57" s="41"/>
      <c r="AY57" s="40"/>
      <c r="AZ57" s="41"/>
      <c r="BA57" s="40"/>
      <c r="BB57" s="41"/>
      <c r="BC57" s="40"/>
      <c r="BD57" s="41"/>
      <c r="BE57" s="42"/>
      <c r="BF57" s="43"/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/>
      <c r="BR57" s="41"/>
      <c r="BS57" s="40"/>
      <c r="BT57" s="41"/>
      <c r="BU57" s="40"/>
      <c r="BV57" s="41"/>
      <c r="BW57" s="40"/>
      <c r="BX57" s="41"/>
      <c r="BY57" s="42"/>
      <c r="BZ57" s="43"/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43"/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>
        <f t="shared" si="28"/>
        <v>54</v>
      </c>
      <c r="DD57" s="86">
        <v>6</v>
      </c>
      <c r="DE57" s="87">
        <f>30*0.4*1.5</f>
        <v>18</v>
      </c>
      <c r="DF57" s="41"/>
      <c r="DG57" s="40"/>
      <c r="DH57" s="41">
        <v>3</v>
      </c>
      <c r="DI57" s="40">
        <f>45*0.4</f>
        <v>18</v>
      </c>
      <c r="DJ57" s="86">
        <v>4</v>
      </c>
      <c r="DK57" s="88">
        <f>30*0.4*1.5</f>
        <v>18</v>
      </c>
    </row>
    <row r="58" spans="1:115" s="1" customFormat="1" ht="15" customHeight="1" x14ac:dyDescent="0.3">
      <c r="A58" s="126">
        <v>9</v>
      </c>
      <c r="B58" s="127">
        <v>6613</v>
      </c>
      <c r="C58" s="128" t="s">
        <v>85</v>
      </c>
      <c r="D58" s="129">
        <v>2009</v>
      </c>
      <c r="E58" s="130">
        <f t="shared" si="27"/>
        <v>51</v>
      </c>
      <c r="F58" s="131" t="s">
        <v>168</v>
      </c>
      <c r="G58" s="37"/>
      <c r="H58" s="37" t="s">
        <v>207</v>
      </c>
      <c r="I58" s="37"/>
      <c r="J58" s="38"/>
      <c r="K58" s="39"/>
      <c r="L58" s="40"/>
      <c r="M58" s="41"/>
      <c r="N58" s="42"/>
      <c r="O58" s="38"/>
      <c r="P58" s="39"/>
      <c r="Q58" s="42"/>
      <c r="R58" s="43"/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82"/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/>
      <c r="AO58" s="41"/>
      <c r="AP58" s="40"/>
      <c r="AQ58" s="41"/>
      <c r="AR58" s="40"/>
      <c r="AS58" s="41"/>
      <c r="AT58" s="40"/>
      <c r="AU58" s="41"/>
      <c r="AV58" s="42"/>
      <c r="AW58" s="43"/>
      <c r="AX58" s="41"/>
      <c r="AY58" s="40"/>
      <c r="AZ58" s="41"/>
      <c r="BA58" s="40"/>
      <c r="BB58" s="41"/>
      <c r="BC58" s="40"/>
      <c r="BD58" s="41"/>
      <c r="BE58" s="42"/>
      <c r="BF58" s="43"/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43"/>
      <c r="BR58" s="41"/>
      <c r="BS58" s="40"/>
      <c r="BT58" s="41"/>
      <c r="BU58" s="40"/>
      <c r="BV58" s="41"/>
      <c r="BW58" s="40"/>
      <c r="BX58" s="41"/>
      <c r="BY58" s="42"/>
      <c r="BZ58" s="43"/>
      <c r="CA58" s="106"/>
      <c r="CB58" s="102"/>
      <c r="CC58" s="41"/>
      <c r="CD58" s="40"/>
      <c r="CE58" s="41"/>
      <c r="CF58" s="40"/>
      <c r="CG58" s="41"/>
      <c r="CH58" s="40"/>
      <c r="CI58" s="41"/>
      <c r="CJ58" s="42"/>
      <c r="CK58" s="43"/>
      <c r="CL58" s="41"/>
      <c r="CM58" s="40"/>
      <c r="CN58" s="41"/>
      <c r="CO58" s="40"/>
      <c r="CP58" s="41"/>
      <c r="CQ58" s="40"/>
      <c r="CR58" s="41"/>
      <c r="CS58" s="42"/>
      <c r="CT58" s="43"/>
      <c r="CU58" s="41"/>
      <c r="CV58" s="40"/>
      <c r="CW58" s="40"/>
      <c r="CX58" s="40"/>
      <c r="CY58" s="40"/>
      <c r="CZ58" s="40"/>
      <c r="DA58" s="41"/>
      <c r="DB58" s="42"/>
      <c r="DC58" s="132">
        <f t="shared" si="28"/>
        <v>51</v>
      </c>
      <c r="DD58" s="86">
        <v>8</v>
      </c>
      <c r="DE58" s="87">
        <f>20*0.4*1.5</f>
        <v>12</v>
      </c>
      <c r="DF58" s="41">
        <v>6</v>
      </c>
      <c r="DG58" s="40">
        <f>30*0.4</f>
        <v>12</v>
      </c>
      <c r="DH58" s="41"/>
      <c r="DI58" s="40"/>
      <c r="DJ58" s="86">
        <v>3</v>
      </c>
      <c r="DK58" s="88">
        <f>45*0.4*1.5</f>
        <v>27</v>
      </c>
    </row>
    <row r="59" spans="1:115" s="1" customFormat="1" ht="15" hidden="1" customHeight="1" x14ac:dyDescent="0.3">
      <c r="A59" s="2">
        <f t="shared" si="26"/>
        <v>10</v>
      </c>
      <c r="B59" s="14">
        <v>1695</v>
      </c>
      <c r="C59" s="5" t="s">
        <v>12</v>
      </c>
      <c r="D59" s="15">
        <v>1995</v>
      </c>
      <c r="E59" s="16">
        <f t="shared" si="27"/>
        <v>25</v>
      </c>
      <c r="F59" s="37" t="s">
        <v>148</v>
      </c>
      <c r="G59" s="37"/>
      <c r="H59" s="37" t="s">
        <v>235</v>
      </c>
      <c r="I59" s="37" t="s">
        <v>236</v>
      </c>
      <c r="J59" s="38">
        <f>L59+N59</f>
        <v>0</v>
      </c>
      <c r="K59" s="39"/>
      <c r="L59" s="40"/>
      <c r="M59" s="41"/>
      <c r="N59" s="42"/>
      <c r="O59" s="38">
        <f>Q59</f>
        <v>0</v>
      </c>
      <c r="P59" s="39"/>
      <c r="Q59" s="42"/>
      <c r="R59" s="43">
        <f>T59+V59+X59+Z59+AB59</f>
        <v>0</v>
      </c>
      <c r="S59" s="44"/>
      <c r="T59" s="45"/>
      <c r="U59" s="44"/>
      <c r="V59" s="45"/>
      <c r="W59" s="44"/>
      <c r="X59" s="45"/>
      <c r="Y59" s="44"/>
      <c r="Z59" s="45"/>
      <c r="AA59" s="44"/>
      <c r="AB59" s="78"/>
      <c r="AC59" s="82">
        <f>AE59+AG59+AI59+AK59+AM59</f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>AP59+AR59+AT59+AV59</f>
        <v>0</v>
      </c>
      <c r="AO59" s="41"/>
      <c r="AP59" s="40"/>
      <c r="AQ59" s="41"/>
      <c r="AR59" s="40"/>
      <c r="AS59" s="41"/>
      <c r="AT59" s="40"/>
      <c r="AU59" s="41"/>
      <c r="AV59" s="42"/>
      <c r="AW59" s="43">
        <f>AY59+BA59+BC59+BE59</f>
        <v>0</v>
      </c>
      <c r="AX59" s="41"/>
      <c r="AY59" s="40"/>
      <c r="AZ59" s="41"/>
      <c r="BA59" s="40"/>
      <c r="BB59" s="41"/>
      <c r="BC59" s="40"/>
      <c r="BD59" s="41"/>
      <c r="BE59" s="42"/>
      <c r="BF59" s="43">
        <f>BH59+BJ59+BL59+BN59+BP59</f>
        <v>25</v>
      </c>
      <c r="BG59" s="41"/>
      <c r="BH59" s="40"/>
      <c r="BI59" s="41"/>
      <c r="BJ59" s="40"/>
      <c r="BK59" s="41">
        <v>7</v>
      </c>
      <c r="BL59" s="40">
        <f>25</f>
        <v>25</v>
      </c>
      <c r="BM59" s="41"/>
      <c r="BN59" s="40"/>
      <c r="BO59" s="41"/>
      <c r="BP59" s="42"/>
      <c r="BQ59" s="43">
        <f>BS59+BU59+BW59+BY59</f>
        <v>0</v>
      </c>
      <c r="BR59" s="41"/>
      <c r="BS59" s="40"/>
      <c r="BT59" s="41"/>
      <c r="BU59" s="40"/>
      <c r="BV59" s="41"/>
      <c r="BW59" s="40"/>
      <c r="BX59" s="41"/>
      <c r="BY59" s="42"/>
      <c r="BZ59" s="43">
        <f>CB59+CD59+CF59+CH59+CJ59</f>
        <v>0</v>
      </c>
      <c r="CA59" s="106"/>
      <c r="CB59" s="102"/>
      <c r="CC59" s="41"/>
      <c r="CD59" s="40"/>
      <c r="CE59" s="41"/>
      <c r="CF59" s="40"/>
      <c r="CG59" s="41"/>
      <c r="CH59" s="40"/>
      <c r="CI59" s="41"/>
      <c r="CJ59" s="42"/>
      <c r="CK59" s="43">
        <f>CM59+CO59+CQ59+CS59</f>
        <v>0</v>
      </c>
      <c r="CL59" s="41"/>
      <c r="CM59" s="40"/>
      <c r="CN59" s="41"/>
      <c r="CO59" s="40"/>
      <c r="CP59" s="41"/>
      <c r="CQ59" s="40"/>
      <c r="CR59" s="41"/>
      <c r="CS59" s="42"/>
      <c r="CT59" s="43">
        <f>CV59+CX59+CZ59+DB59</f>
        <v>0</v>
      </c>
      <c r="CU59" s="41"/>
      <c r="CV59" s="40"/>
      <c r="CW59" s="40"/>
      <c r="CX59" s="40"/>
      <c r="CY59" s="40"/>
      <c r="CZ59" s="40"/>
      <c r="DA59" s="41"/>
      <c r="DB59" s="42"/>
      <c r="DC59" s="43">
        <f t="shared" si="28"/>
        <v>0</v>
      </c>
      <c r="DD59" s="41"/>
      <c r="DE59" s="40"/>
      <c r="DF59" s="40"/>
      <c r="DG59" s="40"/>
      <c r="DH59" s="40"/>
      <c r="DI59" s="40"/>
      <c r="DJ59" s="41"/>
      <c r="DK59" s="42"/>
    </row>
    <row r="60" spans="1:115" s="1" customFormat="1" ht="15" hidden="1" customHeight="1" x14ac:dyDescent="0.3">
      <c r="A60" s="2">
        <f t="shared" si="26"/>
        <v>11</v>
      </c>
      <c r="B60" s="14">
        <v>4698</v>
      </c>
      <c r="C60" s="5" t="s">
        <v>5</v>
      </c>
      <c r="D60" s="15">
        <v>2004</v>
      </c>
      <c r="E60" s="16">
        <f t="shared" si="27"/>
        <v>20.8</v>
      </c>
      <c r="F60" s="37" t="s">
        <v>162</v>
      </c>
      <c r="G60" s="37"/>
      <c r="H60" s="37" t="s">
        <v>203</v>
      </c>
      <c r="I60" s="37"/>
      <c r="J60" s="38">
        <f>L60+N60</f>
        <v>0</v>
      </c>
      <c r="K60" s="39"/>
      <c r="L60" s="40"/>
      <c r="M60" s="41"/>
      <c r="N60" s="42"/>
      <c r="O60" s="38">
        <f>Q60</f>
        <v>0</v>
      </c>
      <c r="P60" s="39"/>
      <c r="Q60" s="42"/>
      <c r="R60" s="43">
        <f>T60+V60+X60+Z60+AB60</f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>AE60+AG60+AI60+AK60+AM60</f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>AP60+AR60+AT60</f>
        <v>20.8</v>
      </c>
      <c r="AO60" s="41"/>
      <c r="AP60" s="40"/>
      <c r="AQ60" s="41"/>
      <c r="AR60" s="40"/>
      <c r="AS60" s="41">
        <v>5</v>
      </c>
      <c r="AT60" s="40">
        <f>26*0.8</f>
        <v>20.8</v>
      </c>
      <c r="AU60" s="35">
        <v>7</v>
      </c>
      <c r="AV60" s="89" t="s">
        <v>110</v>
      </c>
      <c r="AW60" s="43">
        <f>AY60+BA60+BC60+BE60</f>
        <v>0</v>
      </c>
      <c r="AX60" s="41"/>
      <c r="AY60" s="40"/>
      <c r="AZ60" s="41"/>
      <c r="BA60" s="40"/>
      <c r="BB60" s="41"/>
      <c r="BC60" s="40"/>
      <c r="BD60" s="41"/>
      <c r="BE60" s="42"/>
      <c r="BF60" s="43">
        <f>BH60+BJ60+BL60</f>
        <v>0</v>
      </c>
      <c r="BG60" s="41"/>
      <c r="BH60" s="40"/>
      <c r="BI60" s="41"/>
      <c r="BJ60" s="40"/>
      <c r="BK60" s="41"/>
      <c r="BL60" s="40"/>
      <c r="BM60" s="35">
        <v>5</v>
      </c>
      <c r="BN60" s="35" t="s">
        <v>110</v>
      </c>
      <c r="BO60" s="35">
        <v>7</v>
      </c>
      <c r="BP60" s="89" t="s">
        <v>110</v>
      </c>
      <c r="BQ60" s="43">
        <f>BS60+BU60+BW60+BY60</f>
        <v>0</v>
      </c>
      <c r="BR60" s="41"/>
      <c r="BS60" s="40"/>
      <c r="BT60" s="41"/>
      <c r="BU60" s="40"/>
      <c r="BV60" s="41"/>
      <c r="BW60" s="40"/>
      <c r="BX60" s="41"/>
      <c r="BY60" s="53"/>
      <c r="BZ60" s="43">
        <f>CB60+CD60+CF60+CH60+CJ60</f>
        <v>0</v>
      </c>
      <c r="CA60" s="106"/>
      <c r="CB60" s="102"/>
      <c r="CC60" s="41"/>
      <c r="CD60" s="40"/>
      <c r="CE60" s="41"/>
      <c r="CF60" s="40"/>
      <c r="CG60" s="41"/>
      <c r="CH60" s="40"/>
      <c r="CI60" s="41"/>
      <c r="CJ60" s="53"/>
      <c r="CK60" s="43">
        <f>CM60+CO60+CQ60+CS60</f>
        <v>0</v>
      </c>
      <c r="CL60" s="41"/>
      <c r="CM60" s="40"/>
      <c r="CN60" s="41"/>
      <c r="CO60" s="40"/>
      <c r="CP60" s="41"/>
      <c r="CQ60" s="40"/>
      <c r="CR60" s="41"/>
      <c r="CS60" s="53"/>
      <c r="CT60" s="43">
        <f>CV60+CX60+CZ60+DB60</f>
        <v>0</v>
      </c>
      <c r="CU60" s="41"/>
      <c r="CV60" s="40"/>
      <c r="CW60" s="40"/>
      <c r="CX60" s="40"/>
      <c r="CY60" s="40"/>
      <c r="CZ60" s="40"/>
      <c r="DA60" s="41"/>
      <c r="DB60" s="53"/>
      <c r="DC60" s="43">
        <f t="shared" si="28"/>
        <v>0</v>
      </c>
      <c r="DD60" s="41"/>
      <c r="DE60" s="40"/>
      <c r="DF60" s="40"/>
      <c r="DG60" s="40"/>
      <c r="DH60" s="40"/>
      <c r="DI60" s="40"/>
      <c r="DJ60" s="41"/>
      <c r="DK60" s="53"/>
    </row>
    <row r="61" spans="1:115" s="1" customFormat="1" ht="15" customHeight="1" x14ac:dyDescent="0.3">
      <c r="A61" s="2">
        <v>10</v>
      </c>
      <c r="B61" s="14">
        <v>9647</v>
      </c>
      <c r="C61" s="5" t="s">
        <v>124</v>
      </c>
      <c r="D61" s="15">
        <v>2010</v>
      </c>
      <c r="E61" s="16">
        <f t="shared" si="27"/>
        <v>38</v>
      </c>
      <c r="F61" s="37" t="s">
        <v>148</v>
      </c>
      <c r="G61" s="37"/>
      <c r="H61" s="37" t="s">
        <v>233</v>
      </c>
      <c r="I61" s="37"/>
      <c r="J61" s="38"/>
      <c r="K61" s="39"/>
      <c r="L61" s="40"/>
      <c r="M61" s="41"/>
      <c r="N61" s="42"/>
      <c r="O61" s="38"/>
      <c r="P61" s="39"/>
      <c r="Q61" s="42"/>
      <c r="R61" s="43"/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/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/>
      <c r="AO61" s="41"/>
      <c r="AP61" s="40"/>
      <c r="AQ61" s="41"/>
      <c r="AR61" s="40"/>
      <c r="AS61" s="41"/>
      <c r="AT61" s="40"/>
      <c r="AU61" s="41"/>
      <c r="AV61" s="42"/>
      <c r="AW61" s="43"/>
      <c r="AX61" s="41"/>
      <c r="AY61" s="40"/>
      <c r="AZ61" s="41"/>
      <c r="BA61" s="40"/>
      <c r="BB61" s="41"/>
      <c r="BC61" s="40"/>
      <c r="BD61" s="41"/>
      <c r="BE61" s="42"/>
      <c r="BF61" s="43"/>
      <c r="BG61" s="41"/>
      <c r="BH61" s="40"/>
      <c r="BI61" s="41"/>
      <c r="BJ61" s="40"/>
      <c r="BK61" s="41"/>
      <c r="BL61" s="40"/>
      <c r="BM61" s="35"/>
      <c r="BN61" s="35"/>
      <c r="BO61" s="35"/>
      <c r="BP61" s="89"/>
      <c r="BQ61" s="43"/>
      <c r="BR61" s="41"/>
      <c r="BS61" s="40"/>
      <c r="BT61" s="41"/>
      <c r="BU61" s="40"/>
      <c r="BV61" s="41"/>
      <c r="BW61" s="40"/>
      <c r="BX61" s="41"/>
      <c r="BY61" s="53"/>
      <c r="BZ61" s="43"/>
      <c r="CA61" s="106"/>
      <c r="CB61" s="102"/>
      <c r="CC61" s="41"/>
      <c r="CD61" s="40"/>
      <c r="CE61" s="41"/>
      <c r="CF61" s="40"/>
      <c r="CG61" s="41"/>
      <c r="CH61" s="40"/>
      <c r="CI61" s="41"/>
      <c r="CJ61" s="53"/>
      <c r="CK61" s="43"/>
      <c r="CL61" s="41"/>
      <c r="CM61" s="40"/>
      <c r="CN61" s="41"/>
      <c r="CO61" s="40"/>
      <c r="CP61" s="41"/>
      <c r="CQ61" s="40"/>
      <c r="CR61" s="41"/>
      <c r="CS61" s="53"/>
      <c r="CT61" s="43"/>
      <c r="CU61" s="41"/>
      <c r="CV61" s="40"/>
      <c r="CW61" s="40"/>
      <c r="CX61" s="40"/>
      <c r="CY61" s="40"/>
      <c r="CZ61" s="40"/>
      <c r="DA61" s="41"/>
      <c r="DB61" s="53"/>
      <c r="DC61" s="43">
        <f t="shared" si="28"/>
        <v>38</v>
      </c>
      <c r="DD61" s="86">
        <v>9</v>
      </c>
      <c r="DE61" s="87">
        <f>10*0.4*1.5</f>
        <v>6</v>
      </c>
      <c r="DF61" s="41">
        <v>2</v>
      </c>
      <c r="DG61" s="40">
        <f>80*0.4</f>
        <v>32</v>
      </c>
      <c r="DH61" s="41"/>
      <c r="DI61" s="40"/>
      <c r="DJ61" s="41"/>
      <c r="DK61" s="53"/>
    </row>
    <row r="62" spans="1:115" s="1" customFormat="1" ht="15" hidden="1" customHeight="1" x14ac:dyDescent="0.3">
      <c r="A62" s="2">
        <f t="shared" si="26"/>
        <v>11</v>
      </c>
      <c r="B62" s="14">
        <v>105</v>
      </c>
      <c r="C62" s="5" t="s">
        <v>248</v>
      </c>
      <c r="D62" s="15">
        <v>2012</v>
      </c>
      <c r="E62" s="16">
        <f t="shared" si="27"/>
        <v>19.5</v>
      </c>
      <c r="F62" s="37" t="s">
        <v>151</v>
      </c>
      <c r="G62" s="37"/>
      <c r="H62" s="37" t="s">
        <v>249</v>
      </c>
      <c r="I62" s="37"/>
      <c r="J62" s="38">
        <f>L62+N62</f>
        <v>0</v>
      </c>
      <c r="K62" s="39"/>
      <c r="L62" s="40"/>
      <c r="M62" s="41"/>
      <c r="N62" s="42"/>
      <c r="O62" s="38">
        <f>Q62</f>
        <v>0</v>
      </c>
      <c r="P62" s="39"/>
      <c r="Q62" s="42"/>
      <c r="R62" s="43">
        <f>T62+V62+X62+Z62+AB62</f>
        <v>0</v>
      </c>
      <c r="S62" s="44"/>
      <c r="T62" s="45"/>
      <c r="U62" s="44"/>
      <c r="V62" s="45"/>
      <c r="W62" s="44"/>
      <c r="X62" s="45"/>
      <c r="Y62" s="44"/>
      <c r="Z62" s="45"/>
      <c r="AA62" s="44"/>
      <c r="AB62" s="78"/>
      <c r="AC62" s="82">
        <f>AE62+AG62+AI62+AK62+AM62</f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>AP62+AR62+AT62+AV62</f>
        <v>0</v>
      </c>
      <c r="AO62" s="41"/>
      <c r="AP62" s="40"/>
      <c r="AQ62" s="41"/>
      <c r="AR62" s="40"/>
      <c r="AS62" s="41"/>
      <c r="AT62" s="40"/>
      <c r="AU62" s="41"/>
      <c r="AV62" s="42"/>
      <c r="AW62" s="43">
        <f>AY62+BA62+BC62+BE62</f>
        <v>0</v>
      </c>
      <c r="AX62" s="41"/>
      <c r="AY62" s="40"/>
      <c r="AZ62" s="41"/>
      <c r="BA62" s="40"/>
      <c r="BB62" s="41"/>
      <c r="BC62" s="40"/>
      <c r="BD62" s="41"/>
      <c r="BE62" s="42"/>
      <c r="BF62" s="43">
        <f>BH62+BJ62+BL62+BN62+BP62</f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>BS62+BU62+BW62+BY62</f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>CB62+CD62+CF62+CH62+CJ62</f>
        <v>0</v>
      </c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>
        <f>CM62+CO62+CQ62+CS62</f>
        <v>0</v>
      </c>
      <c r="CL62" s="41"/>
      <c r="CM62" s="40"/>
      <c r="CN62" s="41"/>
      <c r="CO62" s="40"/>
      <c r="CP62" s="41"/>
      <c r="CQ62" s="40"/>
      <c r="CR62" s="41"/>
      <c r="CS62" s="42"/>
      <c r="CT62" s="43">
        <f>CV62+CX62+CZ62+DB62</f>
        <v>19.5</v>
      </c>
      <c r="CU62" s="86">
        <v>8</v>
      </c>
      <c r="CV62" s="87">
        <f>20*0.3*1.5</f>
        <v>9</v>
      </c>
      <c r="CW62" s="41">
        <v>5</v>
      </c>
      <c r="CX62" s="40">
        <f>35*0.3</f>
        <v>10.5</v>
      </c>
      <c r="CY62" s="40"/>
      <c r="CZ62" s="40"/>
      <c r="DA62" s="41"/>
      <c r="DB62" s="42"/>
      <c r="DC62" s="43">
        <f t="shared" si="28"/>
        <v>0</v>
      </c>
      <c r="DD62" s="41"/>
      <c r="DE62" s="40"/>
      <c r="DF62" s="40"/>
      <c r="DG62" s="40"/>
      <c r="DH62" s="40"/>
      <c r="DI62" s="40"/>
      <c r="DJ62" s="41"/>
      <c r="DK62" s="42"/>
    </row>
    <row r="63" spans="1:115" s="1" customFormat="1" ht="15" customHeight="1" x14ac:dyDescent="0.3">
      <c r="A63" s="126">
        <v>11</v>
      </c>
      <c r="B63" s="127">
        <v>9431</v>
      </c>
      <c r="C63" s="128" t="s">
        <v>288</v>
      </c>
      <c r="D63" s="129">
        <v>2010</v>
      </c>
      <c r="E63" s="130">
        <f t="shared" si="27"/>
        <v>36</v>
      </c>
      <c r="F63" s="131" t="s">
        <v>174</v>
      </c>
      <c r="G63" s="37"/>
      <c r="H63" s="37" t="s">
        <v>281</v>
      </c>
      <c r="I63" s="37" t="s">
        <v>282</v>
      </c>
      <c r="J63" s="38"/>
      <c r="K63" s="39"/>
      <c r="L63" s="40"/>
      <c r="M63" s="41"/>
      <c r="N63" s="42"/>
      <c r="O63" s="38"/>
      <c r="P63" s="39"/>
      <c r="Q63" s="42"/>
      <c r="R63" s="43"/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/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/>
      <c r="AO63" s="41"/>
      <c r="AP63" s="40"/>
      <c r="AQ63" s="41"/>
      <c r="AR63" s="40"/>
      <c r="AS63" s="41"/>
      <c r="AT63" s="40"/>
      <c r="AU63" s="41"/>
      <c r="AV63" s="42"/>
      <c r="AW63" s="43"/>
      <c r="AX63" s="41"/>
      <c r="AY63" s="40"/>
      <c r="AZ63" s="41"/>
      <c r="BA63" s="40"/>
      <c r="BB63" s="41"/>
      <c r="BC63" s="40"/>
      <c r="BD63" s="41"/>
      <c r="BE63" s="42"/>
      <c r="BF63" s="43"/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/>
      <c r="BR63" s="41"/>
      <c r="BS63" s="40"/>
      <c r="BT63" s="41"/>
      <c r="BU63" s="40"/>
      <c r="BV63" s="41"/>
      <c r="BW63" s="40"/>
      <c r="BX63" s="41"/>
      <c r="BY63" s="42"/>
      <c r="BZ63" s="43"/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/>
      <c r="CL63" s="41"/>
      <c r="CM63" s="40"/>
      <c r="CN63" s="41"/>
      <c r="CO63" s="40"/>
      <c r="CP63" s="41"/>
      <c r="CQ63" s="40"/>
      <c r="CR63" s="41"/>
      <c r="CS63" s="42"/>
      <c r="CT63" s="43"/>
      <c r="CU63" s="41"/>
      <c r="CV63" s="40"/>
      <c r="CW63" s="40"/>
      <c r="CX63" s="40"/>
      <c r="CY63" s="40"/>
      <c r="CZ63" s="40"/>
      <c r="DA63" s="41"/>
      <c r="DB63" s="42"/>
      <c r="DC63" s="132">
        <f t="shared" si="28"/>
        <v>36</v>
      </c>
      <c r="DD63" s="41"/>
      <c r="DE63" s="40"/>
      <c r="DF63" s="41"/>
      <c r="DG63" s="40"/>
      <c r="DH63" s="41">
        <v>3</v>
      </c>
      <c r="DI63" s="40">
        <f>45*0.4</f>
        <v>18</v>
      </c>
      <c r="DJ63" s="86">
        <v>4</v>
      </c>
      <c r="DK63" s="88">
        <f>30*0.4*1.5</f>
        <v>18</v>
      </c>
    </row>
    <row r="64" spans="1:115" s="1" customFormat="1" ht="15" hidden="1" customHeight="1" x14ac:dyDescent="0.3">
      <c r="A64" s="2">
        <f t="shared" si="26"/>
        <v>12</v>
      </c>
      <c r="B64" s="14">
        <v>5981</v>
      </c>
      <c r="C64" s="5" t="s">
        <v>46</v>
      </c>
      <c r="D64" s="15">
        <v>2007</v>
      </c>
      <c r="E64" s="16">
        <f t="shared" si="27"/>
        <v>18.899999999999999</v>
      </c>
      <c r="F64" s="37" t="s">
        <v>153</v>
      </c>
      <c r="G64" s="37"/>
      <c r="H64" s="37" t="s">
        <v>224</v>
      </c>
      <c r="I64" s="37" t="s">
        <v>225</v>
      </c>
      <c r="J64" s="38">
        <f>L64+N64</f>
        <v>0</v>
      </c>
      <c r="K64" s="39"/>
      <c r="L64" s="40"/>
      <c r="M64" s="41"/>
      <c r="N64" s="42"/>
      <c r="O64" s="38">
        <f>Q64</f>
        <v>0</v>
      </c>
      <c r="P64" s="39"/>
      <c r="Q64" s="42"/>
      <c r="R64" s="43">
        <f>T64+V64+X64+Z64+AB64</f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>
        <f>AE64+AG64+AI64+AK64+AM64</f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>
        <f>AP64+AR64+AT64+AV64</f>
        <v>0</v>
      </c>
      <c r="AO64" s="41"/>
      <c r="AP64" s="40"/>
      <c r="AQ64" s="41"/>
      <c r="AR64" s="40"/>
      <c r="AS64" s="41"/>
      <c r="AT64" s="40"/>
      <c r="AU64" s="41"/>
      <c r="AV64" s="42"/>
      <c r="AW64" s="43">
        <f>AY64+BA64+BC64+BE64</f>
        <v>18.899999999999999</v>
      </c>
      <c r="AX64" s="41"/>
      <c r="AY64" s="40"/>
      <c r="AZ64" s="41"/>
      <c r="BA64" s="40"/>
      <c r="BB64" s="41">
        <v>8</v>
      </c>
      <c r="BC64" s="40">
        <f>15*0.7</f>
        <v>10.5</v>
      </c>
      <c r="BD64" s="86">
        <v>9</v>
      </c>
      <c r="BE64" s="88">
        <f>8*0.7*1.5</f>
        <v>8.3999999999999986</v>
      </c>
      <c r="BF64" s="43">
        <f>BH64+BJ64+BL64+BN64+BP64</f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>
        <f>BS64+BU64+BW64+BY64</f>
        <v>0</v>
      </c>
      <c r="BR64" s="41"/>
      <c r="BS64" s="40"/>
      <c r="BT64" s="41"/>
      <c r="BU64" s="40"/>
      <c r="BV64" s="41"/>
      <c r="BW64" s="40"/>
      <c r="BX64" s="41"/>
      <c r="BY64" s="42"/>
      <c r="BZ64" s="43">
        <f>CB64+CD64+CF64+CH64+CJ64</f>
        <v>0</v>
      </c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43">
        <f>CM64+CO64+CQ64+CS64</f>
        <v>0</v>
      </c>
      <c r="CL64" s="41"/>
      <c r="CM64" s="40"/>
      <c r="CN64" s="41"/>
      <c r="CO64" s="40"/>
      <c r="CP64" s="41"/>
      <c r="CQ64" s="40"/>
      <c r="CR64" s="41"/>
      <c r="CS64" s="42"/>
      <c r="CT64" s="43">
        <f>CV64+CX64+CZ64+DB64</f>
        <v>0</v>
      </c>
      <c r="CU64" s="41"/>
      <c r="CV64" s="40"/>
      <c r="CW64" s="40"/>
      <c r="CX64" s="40"/>
      <c r="CY64" s="40"/>
      <c r="CZ64" s="40"/>
      <c r="DA64" s="41"/>
      <c r="DB64" s="42"/>
      <c r="DC64" s="43">
        <f t="shared" si="28"/>
        <v>0</v>
      </c>
      <c r="DD64" s="41"/>
      <c r="DE64" s="40"/>
      <c r="DF64" s="40"/>
      <c r="DG64" s="40"/>
      <c r="DH64" s="40"/>
      <c r="DI64" s="40"/>
      <c r="DJ64" s="41"/>
      <c r="DK64" s="42"/>
    </row>
    <row r="65" spans="1:115" s="1" customFormat="1" ht="15" hidden="1" customHeight="1" x14ac:dyDescent="0.3">
      <c r="A65" s="2">
        <f t="shared" si="26"/>
        <v>13</v>
      </c>
      <c r="B65" s="14">
        <v>6504</v>
      </c>
      <c r="C65" s="5" t="s">
        <v>115</v>
      </c>
      <c r="D65" s="15">
        <v>2007</v>
      </c>
      <c r="E65" s="16">
        <f t="shared" si="27"/>
        <v>15.75</v>
      </c>
      <c r="F65" s="37" t="s">
        <v>148</v>
      </c>
      <c r="G65" s="37"/>
      <c r="H65" s="37" t="s">
        <v>230</v>
      </c>
      <c r="I65" s="37"/>
      <c r="J65" s="38">
        <f>L65+N65</f>
        <v>0</v>
      </c>
      <c r="K65" s="39"/>
      <c r="L65" s="40"/>
      <c r="M65" s="41"/>
      <c r="N65" s="42"/>
      <c r="O65" s="38">
        <f>Q65</f>
        <v>0</v>
      </c>
      <c r="P65" s="39"/>
      <c r="Q65" s="42"/>
      <c r="R65" s="43">
        <f>T65+V65+X65+Z65+AB65</f>
        <v>0</v>
      </c>
      <c r="S65" s="44"/>
      <c r="T65" s="45"/>
      <c r="U65" s="44"/>
      <c r="V65" s="45"/>
      <c r="W65" s="44"/>
      <c r="X65" s="45"/>
      <c r="Y65" s="44"/>
      <c r="Z65" s="45"/>
      <c r="AA65" s="44"/>
      <c r="AB65" s="78"/>
      <c r="AC65" s="82">
        <f>AE65+AG65+AI65+AK65+AM65</f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>
        <f>AP65+AR65+AT65+AV65</f>
        <v>0</v>
      </c>
      <c r="AO65" s="41"/>
      <c r="AP65" s="40"/>
      <c r="AQ65" s="41"/>
      <c r="AR65" s="40"/>
      <c r="AS65" s="41"/>
      <c r="AT65" s="40"/>
      <c r="AU65" s="41"/>
      <c r="AV65" s="42"/>
      <c r="AW65" s="43">
        <f>AY65+BA65+BC65+BE65</f>
        <v>15.75</v>
      </c>
      <c r="AX65" s="41"/>
      <c r="AY65" s="40"/>
      <c r="AZ65" s="41"/>
      <c r="BA65" s="40"/>
      <c r="BB65" s="41"/>
      <c r="BC65" s="40"/>
      <c r="BD65" s="86">
        <v>8</v>
      </c>
      <c r="BE65" s="88">
        <f>15*0.7*1.5</f>
        <v>15.75</v>
      </c>
      <c r="BF65" s="43">
        <f>BH65+BJ65+BL65</f>
        <v>0</v>
      </c>
      <c r="BG65" s="41"/>
      <c r="BH65" s="40"/>
      <c r="BI65" s="41"/>
      <c r="BJ65" s="40"/>
      <c r="BK65" s="41"/>
      <c r="BL65" s="40"/>
      <c r="BM65" s="35">
        <v>7</v>
      </c>
      <c r="BN65" s="35" t="s">
        <v>110</v>
      </c>
      <c r="BO65" s="35">
        <v>8</v>
      </c>
      <c r="BP65" s="89" t="s">
        <v>110</v>
      </c>
      <c r="BQ65" s="43">
        <f>BS65+BU65+BW65+BY65</f>
        <v>0</v>
      </c>
      <c r="BR65" s="41"/>
      <c r="BS65" s="40"/>
      <c r="BT65" s="41"/>
      <c r="BU65" s="40"/>
      <c r="BV65" s="41"/>
      <c r="BW65" s="40"/>
      <c r="BX65" s="41"/>
      <c r="BY65" s="53"/>
      <c r="BZ65" s="43">
        <f>CB65+CD65+CF65+CH65+CJ65</f>
        <v>0</v>
      </c>
      <c r="CA65" s="106"/>
      <c r="CB65" s="102"/>
      <c r="CC65" s="41"/>
      <c r="CD65" s="40"/>
      <c r="CE65" s="41"/>
      <c r="CF65" s="40"/>
      <c r="CG65" s="41"/>
      <c r="CH65" s="40"/>
      <c r="CI65" s="41"/>
      <c r="CJ65" s="53"/>
      <c r="CK65" s="43">
        <f>CM65+CO65+CQ65+CS65</f>
        <v>0</v>
      </c>
      <c r="CL65" s="41"/>
      <c r="CM65" s="40"/>
      <c r="CN65" s="41"/>
      <c r="CO65" s="40"/>
      <c r="CP65" s="41"/>
      <c r="CQ65" s="40"/>
      <c r="CR65" s="41"/>
      <c r="CS65" s="53"/>
      <c r="CT65" s="43">
        <f>CV65+CX65+CZ65+DB65</f>
        <v>0</v>
      </c>
      <c r="CU65" s="41"/>
      <c r="CV65" s="40"/>
      <c r="CW65" s="40"/>
      <c r="CX65" s="40"/>
      <c r="CY65" s="40"/>
      <c r="CZ65" s="40"/>
      <c r="DA65" s="41"/>
      <c r="DB65" s="53"/>
      <c r="DC65" s="43">
        <f t="shared" si="28"/>
        <v>0</v>
      </c>
      <c r="DD65" s="41"/>
      <c r="DE65" s="40"/>
      <c r="DF65" s="40"/>
      <c r="DG65" s="40"/>
      <c r="DH65" s="40"/>
      <c r="DI65" s="40"/>
      <c r="DJ65" s="41"/>
      <c r="DK65" s="53"/>
    </row>
    <row r="66" spans="1:115" s="1" customFormat="1" ht="15" hidden="1" customHeight="1" x14ac:dyDescent="0.3">
      <c r="A66" s="2">
        <f t="shared" si="26"/>
        <v>14</v>
      </c>
      <c r="B66" s="14">
        <v>9577</v>
      </c>
      <c r="C66" s="5" t="s">
        <v>269</v>
      </c>
      <c r="D66" s="15">
        <v>2012</v>
      </c>
      <c r="E66" s="16">
        <f t="shared" si="27"/>
        <v>15.75</v>
      </c>
      <c r="F66" s="37" t="s">
        <v>170</v>
      </c>
      <c r="G66" s="37"/>
      <c r="H66" s="37" t="s">
        <v>270</v>
      </c>
      <c r="I66" s="37" t="s">
        <v>271</v>
      </c>
      <c r="J66" s="38">
        <f>L66+N66</f>
        <v>0</v>
      </c>
      <c r="K66" s="39"/>
      <c r="L66" s="40"/>
      <c r="M66" s="41"/>
      <c r="N66" s="42"/>
      <c r="O66" s="38">
        <f>Q66</f>
        <v>0</v>
      </c>
      <c r="P66" s="39"/>
      <c r="Q66" s="42"/>
      <c r="R66" s="43">
        <f>T66+V66+X66+Z66+AB66</f>
        <v>0</v>
      </c>
      <c r="S66" s="44"/>
      <c r="T66" s="45"/>
      <c r="U66" s="44"/>
      <c r="V66" s="45"/>
      <c r="W66" s="44"/>
      <c r="X66" s="45"/>
      <c r="Y66" s="44"/>
      <c r="Z66" s="45"/>
      <c r="AA66" s="44"/>
      <c r="AB66" s="78"/>
      <c r="AC66" s="82">
        <f>AE66+AG66+AI66+AK66+AM66</f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>AP66+AR66+AT66+AV66</f>
        <v>0</v>
      </c>
      <c r="AO66" s="41"/>
      <c r="AP66" s="40"/>
      <c r="AQ66" s="41"/>
      <c r="AR66" s="40"/>
      <c r="AS66" s="41"/>
      <c r="AT66" s="40"/>
      <c r="AU66" s="41"/>
      <c r="AV66" s="42"/>
      <c r="AW66" s="43">
        <f>AY66+BA66+BC66+BE66</f>
        <v>0</v>
      </c>
      <c r="AX66" s="41"/>
      <c r="AY66" s="40"/>
      <c r="AZ66" s="41"/>
      <c r="BA66" s="40"/>
      <c r="BB66" s="41"/>
      <c r="BC66" s="40"/>
      <c r="BD66" s="41"/>
      <c r="BE66" s="42"/>
      <c r="BF66" s="43">
        <f>BH66+BJ66+BL66+BN66+BP66</f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>BS66+BU66+BW66+BY66</f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>CB66+CD66+CF66+CH66+CJ66</f>
        <v>0</v>
      </c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>
        <f>CM66+CO66+CQ66+CS66</f>
        <v>0</v>
      </c>
      <c r="CL66" s="41"/>
      <c r="CM66" s="40"/>
      <c r="CN66" s="41"/>
      <c r="CO66" s="40"/>
      <c r="CP66" s="41"/>
      <c r="CQ66" s="40"/>
      <c r="CR66" s="41"/>
      <c r="CS66" s="42"/>
      <c r="CT66" s="43">
        <f>CV66+CX66+CZ66</f>
        <v>15.75</v>
      </c>
      <c r="CU66" s="86">
        <v>5</v>
      </c>
      <c r="CV66" s="87">
        <f>35*0.3*1.5</f>
        <v>15.75</v>
      </c>
      <c r="CW66" s="41"/>
      <c r="CX66" s="40"/>
      <c r="CY66" s="40"/>
      <c r="CZ66" s="40"/>
      <c r="DA66" s="35">
        <v>6</v>
      </c>
      <c r="DB66" s="89" t="s">
        <v>110</v>
      </c>
      <c r="DC66" s="43">
        <f t="shared" si="28"/>
        <v>0</v>
      </c>
      <c r="DD66" s="41"/>
      <c r="DE66" s="40"/>
      <c r="DF66" s="40"/>
      <c r="DG66" s="40"/>
      <c r="DH66" s="40"/>
      <c r="DI66" s="40"/>
      <c r="DJ66" s="41"/>
      <c r="DK66" s="53"/>
    </row>
    <row r="67" spans="1:115" s="1" customFormat="1" ht="15" customHeight="1" x14ac:dyDescent="0.3">
      <c r="A67" s="2">
        <v>12</v>
      </c>
      <c r="B67" s="14">
        <v>6643</v>
      </c>
      <c r="C67" s="5" t="s">
        <v>84</v>
      </c>
      <c r="D67" s="15">
        <v>2009</v>
      </c>
      <c r="E67" s="16">
        <f t="shared" si="27"/>
        <v>32</v>
      </c>
      <c r="F67" s="37" t="s">
        <v>215</v>
      </c>
      <c r="G67" s="37"/>
      <c r="H67" s="37" t="s">
        <v>216</v>
      </c>
      <c r="I67" s="37" t="s">
        <v>217</v>
      </c>
      <c r="J67" s="38"/>
      <c r="K67" s="47"/>
      <c r="L67" s="48"/>
      <c r="M67" s="49"/>
      <c r="N67" s="50"/>
      <c r="O67" s="38"/>
      <c r="P67" s="47"/>
      <c r="Q67" s="50"/>
      <c r="R67" s="43"/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/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/>
      <c r="AO67" s="49"/>
      <c r="AP67" s="48"/>
      <c r="AQ67" s="49"/>
      <c r="AR67" s="48"/>
      <c r="AS67" s="49"/>
      <c r="AT67" s="48"/>
      <c r="AU67" s="49"/>
      <c r="AV67" s="50"/>
      <c r="AW67" s="43"/>
      <c r="AX67" s="49"/>
      <c r="AY67" s="48"/>
      <c r="AZ67" s="121"/>
      <c r="BA67" s="122"/>
      <c r="BB67" s="49"/>
      <c r="BC67" s="48"/>
      <c r="BD67" s="117"/>
      <c r="BE67" s="123"/>
      <c r="BF67" s="43"/>
      <c r="BG67" s="49"/>
      <c r="BH67" s="48"/>
      <c r="BI67" s="49"/>
      <c r="BJ67" s="48"/>
      <c r="BK67" s="49"/>
      <c r="BL67" s="48"/>
      <c r="BM67" s="49"/>
      <c r="BN67" s="48"/>
      <c r="BO67" s="49"/>
      <c r="BP67" s="124"/>
      <c r="BQ67" s="43"/>
      <c r="BR67" s="49"/>
      <c r="BS67" s="48"/>
      <c r="BT67" s="49"/>
      <c r="BU67" s="48"/>
      <c r="BV67" s="49"/>
      <c r="BW67" s="48"/>
      <c r="BX67" s="49"/>
      <c r="BY67" s="124"/>
      <c r="BZ67" s="43"/>
      <c r="CA67" s="107"/>
      <c r="CB67" s="103"/>
      <c r="CC67" s="49"/>
      <c r="CD67" s="48"/>
      <c r="CE67" s="49"/>
      <c r="CF67" s="48"/>
      <c r="CG67" s="49"/>
      <c r="CH67" s="48"/>
      <c r="CI67" s="49"/>
      <c r="CJ67" s="124"/>
      <c r="CK67" s="43"/>
      <c r="CL67" s="49"/>
      <c r="CM67" s="48"/>
      <c r="CN67" s="49"/>
      <c r="CO67" s="48"/>
      <c r="CP67" s="49"/>
      <c r="CQ67" s="48"/>
      <c r="CR67" s="49"/>
      <c r="CS67" s="124"/>
      <c r="CT67" s="43"/>
      <c r="CU67" s="49"/>
      <c r="CV67" s="48"/>
      <c r="CW67" s="48"/>
      <c r="CX67" s="48"/>
      <c r="CY67" s="48"/>
      <c r="CZ67" s="48"/>
      <c r="DA67" s="49"/>
      <c r="DB67" s="124"/>
      <c r="DC67" s="43">
        <f t="shared" si="28"/>
        <v>32</v>
      </c>
      <c r="DD67" s="117">
        <v>4</v>
      </c>
      <c r="DE67" s="125">
        <f>40*0.4*1.5</f>
        <v>24</v>
      </c>
      <c r="DF67" s="49">
        <v>8</v>
      </c>
      <c r="DG67" s="48">
        <f>20*0.4</f>
        <v>8</v>
      </c>
      <c r="DH67" s="49"/>
      <c r="DI67" s="48"/>
      <c r="DJ67" s="49"/>
      <c r="DK67" s="124"/>
    </row>
    <row r="68" spans="1:115" s="1" customFormat="1" ht="15" hidden="1" customHeight="1" x14ac:dyDescent="0.3">
      <c r="A68" s="2">
        <f t="shared" si="26"/>
        <v>13</v>
      </c>
      <c r="B68" s="14">
        <v>98</v>
      </c>
      <c r="C68" s="5" t="s">
        <v>265</v>
      </c>
      <c r="D68" s="15">
        <v>2012</v>
      </c>
      <c r="E68" s="16">
        <f t="shared" si="27"/>
        <v>13.5</v>
      </c>
      <c r="F68" s="37" t="s">
        <v>153</v>
      </c>
      <c r="G68" s="37"/>
      <c r="H68" s="37" t="s">
        <v>189</v>
      </c>
      <c r="I68" s="37" t="s">
        <v>189</v>
      </c>
      <c r="J68" s="38">
        <f>L68+N68</f>
        <v>0</v>
      </c>
      <c r="K68" s="39"/>
      <c r="L68" s="40"/>
      <c r="M68" s="41"/>
      <c r="N68" s="42"/>
      <c r="O68" s="38">
        <f>Q68</f>
        <v>0</v>
      </c>
      <c r="P68" s="39"/>
      <c r="Q68" s="42"/>
      <c r="R68" s="43">
        <f>T68+V68+X68+Z68+AB68</f>
        <v>0</v>
      </c>
      <c r="S68" s="44"/>
      <c r="T68" s="45"/>
      <c r="U68" s="44"/>
      <c r="V68" s="45"/>
      <c r="W68" s="44"/>
      <c r="X68" s="45"/>
      <c r="Y68" s="44"/>
      <c r="Z68" s="45"/>
      <c r="AA68" s="44"/>
      <c r="AB68" s="78"/>
      <c r="AC68" s="82">
        <f>AE68+AG68+AI68+AK68+AM68</f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>AP68+AR68+AT68+AV68</f>
        <v>0</v>
      </c>
      <c r="AO68" s="41"/>
      <c r="AP68" s="40"/>
      <c r="AQ68" s="41"/>
      <c r="AR68" s="40"/>
      <c r="AS68" s="41"/>
      <c r="AT68" s="40"/>
      <c r="AU68" s="41"/>
      <c r="AV68" s="42"/>
      <c r="AW68" s="43">
        <f>AY68+BA68+BC68+BE68</f>
        <v>0</v>
      </c>
      <c r="AX68" s="41"/>
      <c r="AY68" s="40"/>
      <c r="AZ68" s="41"/>
      <c r="BA68" s="40"/>
      <c r="BB68" s="41"/>
      <c r="BC68" s="40"/>
      <c r="BD68" s="41"/>
      <c r="BE68" s="42"/>
      <c r="BF68" s="43">
        <f>BH68+BJ68+BL68+BN68+BP68</f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>BS68+BU68+BW68+BY68</f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>CB68+CD68+CF68+CH68+CJ68</f>
        <v>0</v>
      </c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>
        <f>CM68+CO68+CQ68+CS68</f>
        <v>0</v>
      </c>
      <c r="CL68" s="41"/>
      <c r="CM68" s="40"/>
      <c r="CN68" s="41"/>
      <c r="CO68" s="40"/>
      <c r="CP68" s="41"/>
      <c r="CQ68" s="40"/>
      <c r="CR68" s="41"/>
      <c r="CS68" s="42"/>
      <c r="CT68" s="43">
        <f>CV68+CX68+CZ68+DB68</f>
        <v>13.5</v>
      </c>
      <c r="CU68" s="41"/>
      <c r="CV68" s="40"/>
      <c r="CW68" s="41"/>
      <c r="CX68" s="40"/>
      <c r="CY68" s="40"/>
      <c r="CZ68" s="40"/>
      <c r="DA68" s="86">
        <v>4</v>
      </c>
      <c r="DB68" s="88">
        <f>30*0.3*1.5</f>
        <v>13.5</v>
      </c>
      <c r="DC68" s="43">
        <f t="shared" si="28"/>
        <v>0</v>
      </c>
      <c r="DD68" s="41"/>
      <c r="DE68" s="40"/>
      <c r="DF68" s="40"/>
      <c r="DG68" s="40"/>
      <c r="DH68" s="40"/>
      <c r="DI68" s="40"/>
      <c r="DJ68" s="41"/>
      <c r="DK68" s="42"/>
    </row>
    <row r="69" spans="1:115" s="1" customFormat="1" ht="15" customHeight="1" x14ac:dyDescent="0.3">
      <c r="A69" s="126">
        <v>13</v>
      </c>
      <c r="B69" s="127">
        <v>9511</v>
      </c>
      <c r="C69" s="128" t="s">
        <v>136</v>
      </c>
      <c r="D69" s="129">
        <v>2010</v>
      </c>
      <c r="E69" s="130">
        <f t="shared" si="27"/>
        <v>25.6</v>
      </c>
      <c r="F69" s="131" t="s">
        <v>153</v>
      </c>
      <c r="G69" s="37"/>
      <c r="H69" s="37" t="s">
        <v>278</v>
      </c>
      <c r="I69" s="37"/>
      <c r="J69" s="38"/>
      <c r="K69" s="39"/>
      <c r="L69" s="40"/>
      <c r="M69" s="41"/>
      <c r="N69" s="42"/>
      <c r="O69" s="38"/>
      <c r="P69" s="39"/>
      <c r="Q69" s="42"/>
      <c r="R69" s="43"/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/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/>
      <c r="AO69" s="41"/>
      <c r="AP69" s="40"/>
      <c r="AQ69" s="41"/>
      <c r="AR69" s="40"/>
      <c r="AS69" s="41"/>
      <c r="AT69" s="40"/>
      <c r="AU69" s="41"/>
      <c r="AV69" s="42"/>
      <c r="AW69" s="43"/>
      <c r="AX69" s="41"/>
      <c r="AY69" s="40"/>
      <c r="AZ69" s="41"/>
      <c r="BA69" s="40"/>
      <c r="BB69" s="41"/>
      <c r="BC69" s="40"/>
      <c r="BD69" s="41"/>
      <c r="BE69" s="53"/>
      <c r="BF69" s="43"/>
      <c r="BG69" s="41"/>
      <c r="BH69" s="40"/>
      <c r="BI69" s="41"/>
      <c r="BJ69" s="40"/>
      <c r="BK69" s="41"/>
      <c r="BL69" s="40"/>
      <c r="BM69" s="41"/>
      <c r="BN69" s="40"/>
      <c r="BO69" s="41"/>
      <c r="BP69" s="53"/>
      <c r="BQ69" s="43"/>
      <c r="BR69" s="41"/>
      <c r="BS69" s="40"/>
      <c r="BT69" s="41"/>
      <c r="BU69" s="40"/>
      <c r="BV69" s="41"/>
      <c r="BW69" s="40"/>
      <c r="BX69" s="41"/>
      <c r="BY69" s="53"/>
      <c r="BZ69" s="43"/>
      <c r="CA69" s="106"/>
      <c r="CB69" s="102"/>
      <c r="CC69" s="41"/>
      <c r="CD69" s="40"/>
      <c r="CE69" s="41"/>
      <c r="CF69" s="40"/>
      <c r="CG69" s="41"/>
      <c r="CH69" s="40"/>
      <c r="CI69" s="41"/>
      <c r="CJ69" s="53"/>
      <c r="CK69" s="43"/>
      <c r="CL69" s="41"/>
      <c r="CM69" s="40"/>
      <c r="CN69" s="41"/>
      <c r="CO69" s="40"/>
      <c r="CP69" s="41"/>
      <c r="CQ69" s="40"/>
      <c r="CR69" s="41"/>
      <c r="CS69" s="53"/>
      <c r="CT69" s="43"/>
      <c r="CU69" s="41"/>
      <c r="CV69" s="40"/>
      <c r="CW69" s="40"/>
      <c r="CX69" s="40"/>
      <c r="CY69" s="40"/>
      <c r="CZ69" s="40"/>
      <c r="DA69" s="41"/>
      <c r="DB69" s="53"/>
      <c r="DC69" s="132">
        <f t="shared" si="28"/>
        <v>25.6</v>
      </c>
      <c r="DD69" s="41"/>
      <c r="DE69" s="40"/>
      <c r="DF69" s="41">
        <v>7</v>
      </c>
      <c r="DG69" s="40">
        <f>25*0.4</f>
        <v>10</v>
      </c>
      <c r="DH69" s="41"/>
      <c r="DI69" s="40"/>
      <c r="DJ69" s="86">
        <v>5</v>
      </c>
      <c r="DK69" s="88">
        <f>26*0.4*1.5</f>
        <v>15.600000000000001</v>
      </c>
    </row>
    <row r="70" spans="1:115" s="1" customFormat="1" ht="15" hidden="1" customHeight="1" x14ac:dyDescent="0.3">
      <c r="A70" s="2">
        <f t="shared" si="26"/>
        <v>14</v>
      </c>
      <c r="B70" s="14">
        <v>6004</v>
      </c>
      <c r="C70" s="5" t="s">
        <v>99</v>
      </c>
      <c r="D70" s="15">
        <v>2007</v>
      </c>
      <c r="E70" s="16">
        <f t="shared" si="27"/>
        <v>10</v>
      </c>
      <c r="F70" s="37" t="s">
        <v>237</v>
      </c>
      <c r="G70" s="37"/>
      <c r="H70" s="37" t="s">
        <v>238</v>
      </c>
      <c r="I70" s="37"/>
      <c r="J70" s="38">
        <f>L70+N70</f>
        <v>0</v>
      </c>
      <c r="K70" s="39"/>
      <c r="L70" s="40"/>
      <c r="M70" s="41"/>
      <c r="N70" s="42"/>
      <c r="O70" s="38">
        <f>Q70</f>
        <v>0</v>
      </c>
      <c r="P70" s="39"/>
      <c r="Q70" s="42"/>
      <c r="R70" s="43">
        <f>T70+V70+X70+Z70+AB70</f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>
        <f>AE70+AG70+AI70+AK70+AM70</f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>
        <f>AP70+AR70+AT70+AV70</f>
        <v>0</v>
      </c>
      <c r="AO70" s="41"/>
      <c r="AP70" s="40"/>
      <c r="AQ70" s="41"/>
      <c r="AR70" s="40"/>
      <c r="AS70" s="41"/>
      <c r="AT70" s="40"/>
      <c r="AU70" s="41"/>
      <c r="AV70" s="42"/>
      <c r="AW70" s="43">
        <f>AY70+BA70+BC70+BE70</f>
        <v>0</v>
      </c>
      <c r="AX70" s="41"/>
      <c r="AY70" s="40"/>
      <c r="AZ70" s="41"/>
      <c r="BA70" s="40"/>
      <c r="BB70" s="41"/>
      <c r="BC70" s="40"/>
      <c r="BD70" s="41"/>
      <c r="BE70" s="42"/>
      <c r="BF70" s="43">
        <f>BH70+BJ70+BL70+BN70+BP70</f>
        <v>10</v>
      </c>
      <c r="BG70" s="41"/>
      <c r="BH70" s="40"/>
      <c r="BI70" s="41"/>
      <c r="BJ70" s="40"/>
      <c r="BK70" s="41">
        <v>9</v>
      </c>
      <c r="BL70" s="40">
        <f>10</f>
        <v>10</v>
      </c>
      <c r="BM70" s="41"/>
      <c r="BN70" s="40"/>
      <c r="BO70" s="41"/>
      <c r="BP70" s="42"/>
      <c r="BQ70" s="43">
        <f>BS70+BU70+BW70+BY70</f>
        <v>0</v>
      </c>
      <c r="BR70" s="41"/>
      <c r="BS70" s="40"/>
      <c r="BT70" s="41"/>
      <c r="BU70" s="40"/>
      <c r="BV70" s="41"/>
      <c r="BW70" s="40"/>
      <c r="BX70" s="41"/>
      <c r="BY70" s="42"/>
      <c r="BZ70" s="43">
        <f>CB70+CD70+CF70+CH70+CJ70</f>
        <v>0</v>
      </c>
      <c r="CA70" s="106"/>
      <c r="CB70" s="102"/>
      <c r="CC70" s="41"/>
      <c r="CD70" s="40"/>
      <c r="CE70" s="41"/>
      <c r="CF70" s="40"/>
      <c r="CG70" s="41"/>
      <c r="CH70" s="40"/>
      <c r="CI70" s="41"/>
      <c r="CJ70" s="42"/>
      <c r="CK70" s="43">
        <f>CM70+CO70+CQ70+CS70</f>
        <v>0</v>
      </c>
      <c r="CL70" s="41"/>
      <c r="CM70" s="40"/>
      <c r="CN70" s="41"/>
      <c r="CO70" s="40"/>
      <c r="CP70" s="41"/>
      <c r="CQ70" s="40"/>
      <c r="CR70" s="41"/>
      <c r="CS70" s="42"/>
      <c r="CT70" s="43">
        <f>CV70+CX70+CZ70+DB70</f>
        <v>0</v>
      </c>
      <c r="CU70" s="41"/>
      <c r="CV70" s="40"/>
      <c r="CW70" s="40"/>
      <c r="CX70" s="40"/>
      <c r="CY70" s="40"/>
      <c r="CZ70" s="40"/>
      <c r="DA70" s="41"/>
      <c r="DB70" s="42"/>
      <c r="DC70" s="43">
        <f t="shared" si="28"/>
        <v>0</v>
      </c>
      <c r="DD70" s="41"/>
      <c r="DE70" s="40"/>
      <c r="DF70" s="40"/>
      <c r="DG70" s="40"/>
      <c r="DH70" s="40"/>
      <c r="DI70" s="40"/>
      <c r="DJ70" s="41"/>
      <c r="DK70" s="42"/>
    </row>
    <row r="71" spans="1:115" s="1" customFormat="1" ht="15" hidden="1" customHeight="1" x14ac:dyDescent="0.3">
      <c r="A71" s="2">
        <f t="shared" si="26"/>
        <v>15</v>
      </c>
      <c r="B71" s="14">
        <v>6092</v>
      </c>
      <c r="C71" s="5" t="s">
        <v>69</v>
      </c>
      <c r="D71" s="15">
        <v>2007</v>
      </c>
      <c r="E71" s="16">
        <f t="shared" si="27"/>
        <v>9</v>
      </c>
      <c r="F71" s="37" t="s">
        <v>151</v>
      </c>
      <c r="G71" s="37"/>
      <c r="H71" s="37" t="s">
        <v>165</v>
      </c>
      <c r="I71" s="37" t="s">
        <v>193</v>
      </c>
      <c r="J71" s="38">
        <f>L71+N71</f>
        <v>0</v>
      </c>
      <c r="K71" s="39"/>
      <c r="L71" s="40"/>
      <c r="M71" s="41"/>
      <c r="N71" s="42"/>
      <c r="O71" s="38">
        <f>Q71</f>
        <v>0</v>
      </c>
      <c r="P71" s="39"/>
      <c r="Q71" s="42"/>
      <c r="R71" s="43">
        <f>T71+V71+X71+Z71+AB71</f>
        <v>9</v>
      </c>
      <c r="S71" s="44"/>
      <c r="T71" s="45"/>
      <c r="U71" s="44"/>
      <c r="V71" s="45"/>
      <c r="W71" s="96"/>
      <c r="X71" s="45"/>
      <c r="Y71" s="96"/>
      <c r="Z71" s="45"/>
      <c r="AA71" s="44">
        <v>9</v>
      </c>
      <c r="AB71" s="78">
        <f>10*0.9</f>
        <v>9</v>
      </c>
      <c r="AC71" s="82">
        <f>AE71+AG71+AI71+AK71+AM71</f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>
        <f>AP71+AR71+AT71+AV71</f>
        <v>0</v>
      </c>
      <c r="AO71" s="41"/>
      <c r="AP71" s="40"/>
      <c r="AQ71" s="41"/>
      <c r="AR71" s="40"/>
      <c r="AS71" s="41"/>
      <c r="AT71" s="40"/>
      <c r="AU71" s="41"/>
      <c r="AV71" s="42"/>
      <c r="AW71" s="43">
        <f>AY71+BA71+BC71+BE71</f>
        <v>0</v>
      </c>
      <c r="AX71" s="41"/>
      <c r="AY71" s="40"/>
      <c r="AZ71" s="41"/>
      <c r="BA71" s="40"/>
      <c r="BB71" s="41"/>
      <c r="BC71" s="40"/>
      <c r="BD71" s="41"/>
      <c r="BE71" s="42"/>
      <c r="BF71" s="43">
        <f>BH71+BJ71+BL71+BN71+BP71</f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>
        <f>BS71+BU71+BW71+BY71</f>
        <v>0</v>
      </c>
      <c r="BR71" s="41"/>
      <c r="BS71" s="40"/>
      <c r="BT71" s="41"/>
      <c r="BU71" s="40"/>
      <c r="BV71" s="41"/>
      <c r="BW71" s="40"/>
      <c r="BX71" s="41"/>
      <c r="BY71" s="42"/>
      <c r="BZ71" s="43">
        <f>CB71+CD71+CF71+CH71+CJ71</f>
        <v>0</v>
      </c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>
        <f>CM71+CO71+CQ71+CS71</f>
        <v>0</v>
      </c>
      <c r="CL71" s="41"/>
      <c r="CM71" s="40"/>
      <c r="CN71" s="41"/>
      <c r="CO71" s="40"/>
      <c r="CP71" s="41"/>
      <c r="CQ71" s="40"/>
      <c r="CR71" s="41"/>
      <c r="CS71" s="42"/>
      <c r="CT71" s="43">
        <f>CV71+CX71+CZ71+DB71</f>
        <v>0</v>
      </c>
      <c r="CU71" s="41"/>
      <c r="CV71" s="40"/>
      <c r="CW71" s="40"/>
      <c r="CX71" s="40"/>
      <c r="CY71" s="40"/>
      <c r="CZ71" s="40"/>
      <c r="DA71" s="41"/>
      <c r="DB71" s="42"/>
      <c r="DC71" s="43">
        <f t="shared" si="28"/>
        <v>0</v>
      </c>
      <c r="DD71" s="41"/>
      <c r="DE71" s="40"/>
      <c r="DF71" s="40"/>
      <c r="DG71" s="40"/>
      <c r="DH71" s="40"/>
      <c r="DI71" s="40"/>
      <c r="DJ71" s="41"/>
      <c r="DK71" s="42"/>
    </row>
    <row r="72" spans="1:115" s="1" customFormat="1" ht="15" customHeight="1" x14ac:dyDescent="0.3">
      <c r="A72" s="2">
        <v>14</v>
      </c>
      <c r="B72" s="14">
        <v>9320</v>
      </c>
      <c r="C72" s="5" t="s">
        <v>212</v>
      </c>
      <c r="D72" s="15">
        <v>2010</v>
      </c>
      <c r="E72" s="16">
        <f t="shared" si="27"/>
        <v>25</v>
      </c>
      <c r="F72" s="37" t="s">
        <v>209</v>
      </c>
      <c r="G72" s="37"/>
      <c r="H72" s="37" t="s">
        <v>211</v>
      </c>
      <c r="I72" s="37" t="s">
        <v>210</v>
      </c>
      <c r="J72" s="38"/>
      <c r="K72" s="39"/>
      <c r="L72" s="40"/>
      <c r="M72" s="41"/>
      <c r="N72" s="42"/>
      <c r="O72" s="38"/>
      <c r="P72" s="39"/>
      <c r="Q72" s="42"/>
      <c r="R72" s="43"/>
      <c r="S72" s="44"/>
      <c r="T72" s="45"/>
      <c r="U72" s="44"/>
      <c r="V72" s="45"/>
      <c r="W72" s="44"/>
      <c r="X72" s="45"/>
      <c r="Y72" s="44"/>
      <c r="Z72" s="45"/>
      <c r="AA72" s="44"/>
      <c r="AB72" s="78"/>
      <c r="AC72" s="82"/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/>
      <c r="AO72" s="41"/>
      <c r="AP72" s="40"/>
      <c r="AQ72" s="41"/>
      <c r="AR72" s="40"/>
      <c r="AS72" s="35"/>
      <c r="AT72" s="35"/>
      <c r="AU72" s="35"/>
      <c r="AV72" s="89"/>
      <c r="AW72" s="43"/>
      <c r="AX72" s="41"/>
      <c r="AY72" s="40"/>
      <c r="AZ72" s="41"/>
      <c r="BA72" s="40"/>
      <c r="BB72" s="41"/>
      <c r="BC72" s="40"/>
      <c r="BD72" s="41"/>
      <c r="BE72" s="42"/>
      <c r="BF72" s="43"/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/>
      <c r="BR72" s="41"/>
      <c r="BS72" s="40"/>
      <c r="BT72" s="41"/>
      <c r="BU72" s="40"/>
      <c r="BV72" s="41"/>
      <c r="BW72" s="40"/>
      <c r="BX72" s="41"/>
      <c r="BY72" s="42"/>
      <c r="BZ72" s="43"/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43"/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>
        <f t="shared" si="28"/>
        <v>25</v>
      </c>
      <c r="DD72" s="86">
        <v>5</v>
      </c>
      <c r="DE72" s="87">
        <f>35*0.4*1.5</f>
        <v>21</v>
      </c>
      <c r="DF72" s="41">
        <v>9</v>
      </c>
      <c r="DG72" s="40">
        <f>10*0.4</f>
        <v>4</v>
      </c>
      <c r="DH72" s="41"/>
      <c r="DI72" s="40"/>
      <c r="DJ72" s="41"/>
      <c r="DK72" s="42"/>
    </row>
    <row r="73" spans="1:115" s="1" customFormat="1" ht="15" customHeight="1" x14ac:dyDescent="0.3">
      <c r="A73" s="126">
        <v>15</v>
      </c>
      <c r="B73" s="127">
        <v>9153</v>
      </c>
      <c r="C73" s="128" t="s">
        <v>121</v>
      </c>
      <c r="D73" s="129">
        <v>2009</v>
      </c>
      <c r="E73" s="130">
        <f t="shared" si="27"/>
        <v>24</v>
      </c>
      <c r="F73" s="131" t="s">
        <v>151</v>
      </c>
      <c r="G73" s="37"/>
      <c r="H73" s="37" t="s">
        <v>193</v>
      </c>
      <c r="I73" s="37"/>
      <c r="J73" s="38"/>
      <c r="K73" s="39"/>
      <c r="L73" s="40"/>
      <c r="M73" s="41"/>
      <c r="N73" s="42"/>
      <c r="O73" s="38"/>
      <c r="P73" s="39"/>
      <c r="Q73" s="42"/>
      <c r="R73" s="43"/>
      <c r="S73" s="120"/>
      <c r="T73" s="45"/>
      <c r="U73" s="120"/>
      <c r="V73" s="45"/>
      <c r="W73" s="120"/>
      <c r="X73" s="45"/>
      <c r="Y73" s="120"/>
      <c r="Z73" s="45"/>
      <c r="AA73" s="120"/>
      <c r="AB73" s="78"/>
      <c r="AC73" s="82"/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/>
      <c r="AO73" s="41"/>
      <c r="AP73" s="40"/>
      <c r="AQ73" s="41"/>
      <c r="AR73" s="40"/>
      <c r="AS73" s="41"/>
      <c r="AT73" s="40"/>
      <c r="AU73" s="41"/>
      <c r="AV73" s="42"/>
      <c r="AW73" s="43"/>
      <c r="AX73" s="41"/>
      <c r="AY73" s="40"/>
      <c r="AZ73" s="41"/>
      <c r="BA73" s="40"/>
      <c r="BB73" s="41"/>
      <c r="BC73" s="40"/>
      <c r="BD73" s="86"/>
      <c r="BE73" s="88"/>
      <c r="BF73" s="43"/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/>
      <c r="BR73" s="41"/>
      <c r="BS73" s="40"/>
      <c r="BT73" s="41"/>
      <c r="BU73" s="40"/>
      <c r="BV73" s="41"/>
      <c r="BW73" s="40"/>
      <c r="BX73" s="41"/>
      <c r="BY73" s="42"/>
      <c r="BZ73" s="43"/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/>
      <c r="CL73" s="41"/>
      <c r="CM73" s="40"/>
      <c r="CN73" s="41"/>
      <c r="CO73" s="40"/>
      <c r="CP73" s="41"/>
      <c r="CQ73" s="40"/>
      <c r="CR73" s="41"/>
      <c r="CS73" s="42"/>
      <c r="CT73" s="43"/>
      <c r="CU73" s="41"/>
      <c r="CV73" s="40"/>
      <c r="CW73" s="40"/>
      <c r="CX73" s="40"/>
      <c r="CY73" s="40"/>
      <c r="CZ73" s="40"/>
      <c r="DA73" s="41"/>
      <c r="DB73" s="42"/>
      <c r="DC73" s="132">
        <f t="shared" si="28"/>
        <v>24</v>
      </c>
      <c r="DD73" s="41"/>
      <c r="DE73" s="40"/>
      <c r="DF73" s="41">
        <v>3</v>
      </c>
      <c r="DG73" s="40">
        <f>60*0.4</f>
        <v>24</v>
      </c>
      <c r="DH73" s="41"/>
      <c r="DI73" s="40"/>
      <c r="DJ73" s="41"/>
      <c r="DK73" s="42"/>
    </row>
    <row r="74" spans="1:115" s="1" customFormat="1" ht="15" hidden="1" customHeight="1" x14ac:dyDescent="0.3">
      <c r="A74" s="2">
        <f t="shared" si="26"/>
        <v>16</v>
      </c>
      <c r="B74" s="14">
        <v>6454</v>
      </c>
      <c r="C74" s="5" t="s">
        <v>65</v>
      </c>
      <c r="D74" s="15">
        <v>2007</v>
      </c>
      <c r="E74" s="16">
        <f t="shared" si="27"/>
        <v>5.6</v>
      </c>
      <c r="F74" s="37" t="s">
        <v>170</v>
      </c>
      <c r="G74" s="37"/>
      <c r="H74" s="37" t="s">
        <v>229</v>
      </c>
      <c r="I74" s="37"/>
      <c r="J74" s="38">
        <f>L74+N74</f>
        <v>0</v>
      </c>
      <c r="K74" s="39"/>
      <c r="L74" s="40"/>
      <c r="M74" s="41"/>
      <c r="N74" s="42"/>
      <c r="O74" s="38">
        <f>Q74</f>
        <v>0</v>
      </c>
      <c r="P74" s="39"/>
      <c r="Q74" s="42"/>
      <c r="R74" s="43">
        <f>T74+V74+X74+Z74+AB74</f>
        <v>0</v>
      </c>
      <c r="S74" s="44"/>
      <c r="T74" s="45"/>
      <c r="U74" s="44"/>
      <c r="V74" s="45"/>
      <c r="W74" s="44"/>
      <c r="X74" s="45"/>
      <c r="Y74" s="96"/>
      <c r="Z74" s="45"/>
      <c r="AA74" s="44"/>
      <c r="AB74" s="78"/>
      <c r="AC74" s="82">
        <f>AE74+AG74+AI74+AK74+AM74</f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>AP74+AR74+AT74+AV74</f>
        <v>0</v>
      </c>
      <c r="AO74" s="41"/>
      <c r="AP74" s="40"/>
      <c r="AQ74" s="41"/>
      <c r="AR74" s="40"/>
      <c r="AS74" s="41"/>
      <c r="AT74" s="40"/>
      <c r="AU74" s="41"/>
      <c r="AV74" s="42"/>
      <c r="AW74" s="43">
        <f>AY74+BA74+BC74+BE74</f>
        <v>5.6</v>
      </c>
      <c r="AX74" s="41"/>
      <c r="AY74" s="40"/>
      <c r="AZ74" s="41"/>
      <c r="BA74" s="40"/>
      <c r="BB74" s="90">
        <v>9</v>
      </c>
      <c r="BC74" s="91">
        <f>8*0.7</f>
        <v>5.6</v>
      </c>
      <c r="BD74" s="41"/>
      <c r="BE74" s="42"/>
      <c r="BF74" s="43">
        <f>BH74+BJ74+BL74+BN74+BP74</f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>BS74+BU74+BW74+BY74</f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>CB74+CD74+CF74+CH74+CJ74</f>
        <v>0</v>
      </c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>
        <f>CM74+CO74+CQ74+CS74</f>
        <v>0</v>
      </c>
      <c r="CL74" s="41"/>
      <c r="CM74" s="40"/>
      <c r="CN74" s="41"/>
      <c r="CO74" s="40"/>
      <c r="CP74" s="41"/>
      <c r="CQ74" s="40"/>
      <c r="CR74" s="41"/>
      <c r="CS74" s="42"/>
      <c r="CT74" s="43">
        <f>CV74+CX74+CZ74+DB74</f>
        <v>0</v>
      </c>
      <c r="CU74" s="41"/>
      <c r="CV74" s="40"/>
      <c r="CW74" s="40"/>
      <c r="CX74" s="40"/>
      <c r="CY74" s="40"/>
      <c r="CZ74" s="40"/>
      <c r="DA74" s="41"/>
      <c r="DB74" s="42"/>
      <c r="DC74" s="43">
        <f t="shared" si="28"/>
        <v>0</v>
      </c>
      <c r="DD74" s="41"/>
      <c r="DE74" s="40"/>
      <c r="DF74" s="40"/>
      <c r="DG74" s="40"/>
      <c r="DH74" s="40"/>
      <c r="DI74" s="40"/>
      <c r="DJ74" s="41"/>
      <c r="DK74" s="42"/>
    </row>
    <row r="75" spans="1:115" s="1" customFormat="1" ht="15" customHeight="1" x14ac:dyDescent="0.3">
      <c r="A75" s="2">
        <v>16</v>
      </c>
      <c r="B75" s="14">
        <v>7059</v>
      </c>
      <c r="C75" s="5" t="s">
        <v>283</v>
      </c>
      <c r="D75" s="15">
        <v>2009</v>
      </c>
      <c r="E75" s="16">
        <f t="shared" si="27"/>
        <v>23.6</v>
      </c>
      <c r="F75" s="37" t="s">
        <v>158</v>
      </c>
      <c r="G75" s="37"/>
      <c r="H75" s="37" t="s">
        <v>284</v>
      </c>
      <c r="I75" s="37" t="s">
        <v>206</v>
      </c>
      <c r="J75" s="38"/>
      <c r="K75" s="39"/>
      <c r="L75" s="40"/>
      <c r="M75" s="41"/>
      <c r="N75" s="42"/>
      <c r="O75" s="38"/>
      <c r="P75" s="39"/>
      <c r="Q75" s="42"/>
      <c r="R75" s="43"/>
      <c r="S75" s="119"/>
      <c r="T75" s="45"/>
      <c r="U75" s="119"/>
      <c r="V75" s="45"/>
      <c r="W75" s="119"/>
      <c r="X75" s="45"/>
      <c r="Y75" s="119"/>
      <c r="Z75" s="45"/>
      <c r="AA75" s="119"/>
      <c r="AB75" s="78"/>
      <c r="AC75" s="82"/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/>
      <c r="AO75" s="41"/>
      <c r="AP75" s="40"/>
      <c r="AQ75" s="41"/>
      <c r="AR75" s="40"/>
      <c r="AS75" s="41"/>
      <c r="AT75" s="40"/>
      <c r="AU75" s="41"/>
      <c r="AV75" s="42"/>
      <c r="AW75" s="43"/>
      <c r="AX75" s="41"/>
      <c r="AY75" s="40"/>
      <c r="AZ75" s="41"/>
      <c r="BA75" s="40"/>
      <c r="BB75" s="41"/>
      <c r="BC75" s="40"/>
      <c r="BD75" s="41"/>
      <c r="BE75" s="42"/>
      <c r="BF75" s="43"/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/>
      <c r="BR75" s="41"/>
      <c r="BS75" s="40"/>
      <c r="BT75" s="41"/>
      <c r="BU75" s="40"/>
      <c r="BV75" s="41"/>
      <c r="BW75" s="40"/>
      <c r="BX75" s="41"/>
      <c r="BY75" s="42"/>
      <c r="BZ75" s="43"/>
      <c r="CA75" s="106"/>
      <c r="CB75" s="102"/>
      <c r="CC75" s="41"/>
      <c r="CD75" s="40"/>
      <c r="CE75" s="41"/>
      <c r="CF75" s="40"/>
      <c r="CG75" s="41"/>
      <c r="CH75" s="40"/>
      <c r="CI75" s="41"/>
      <c r="CJ75" s="42"/>
      <c r="CK75" s="43"/>
      <c r="CL75" s="41"/>
      <c r="CM75" s="40"/>
      <c r="CN75" s="41"/>
      <c r="CO75" s="40"/>
      <c r="CP75" s="41"/>
      <c r="CQ75" s="40"/>
      <c r="CR75" s="41"/>
      <c r="CS75" s="42"/>
      <c r="CT75" s="43"/>
      <c r="CU75" s="41"/>
      <c r="CV75" s="40"/>
      <c r="CW75" s="40"/>
      <c r="CX75" s="40"/>
      <c r="CY75" s="40"/>
      <c r="CZ75" s="40"/>
      <c r="DA75" s="41"/>
      <c r="DB75" s="42"/>
      <c r="DC75" s="43">
        <f t="shared" si="28"/>
        <v>23.6</v>
      </c>
      <c r="DD75" s="41"/>
      <c r="DE75" s="40"/>
      <c r="DF75" s="41"/>
      <c r="DG75" s="40"/>
      <c r="DH75" s="41">
        <v>5</v>
      </c>
      <c r="DI75" s="40">
        <f>26*0.4</f>
        <v>10.4</v>
      </c>
      <c r="DJ75" s="86">
        <v>6</v>
      </c>
      <c r="DK75" s="88">
        <f>22*0.4*1.5</f>
        <v>13.200000000000001</v>
      </c>
    </row>
    <row r="76" spans="1:115" s="1" customFormat="1" ht="15" hidden="1" customHeight="1" x14ac:dyDescent="0.3">
      <c r="A76" s="2">
        <f t="shared" si="26"/>
        <v>17</v>
      </c>
      <c r="B76" s="14">
        <v>6821</v>
      </c>
      <c r="C76" s="5" t="s">
        <v>119</v>
      </c>
      <c r="D76" s="15">
        <v>2008</v>
      </c>
      <c r="E76" s="16">
        <f t="shared" si="27"/>
        <v>4</v>
      </c>
      <c r="F76" s="37" t="s">
        <v>170</v>
      </c>
      <c r="G76" s="37"/>
      <c r="H76" s="37" t="s">
        <v>191</v>
      </c>
      <c r="I76" s="37" t="s">
        <v>171</v>
      </c>
      <c r="J76" s="38">
        <f>L76+N76</f>
        <v>4</v>
      </c>
      <c r="K76" s="39">
        <v>9</v>
      </c>
      <c r="L76" s="40">
        <f>10*0.4</f>
        <v>4</v>
      </c>
      <c r="M76" s="41"/>
      <c r="N76" s="42"/>
      <c r="O76" s="38">
        <f>Q76</f>
        <v>0</v>
      </c>
      <c r="P76" s="39"/>
      <c r="Q76" s="42"/>
      <c r="R76" s="43">
        <f>T76+V76+X76+Z76+AB76</f>
        <v>0</v>
      </c>
      <c r="S76" s="44"/>
      <c r="T76" s="45"/>
      <c r="U76" s="44"/>
      <c r="V76" s="45"/>
      <c r="W76" s="44"/>
      <c r="X76" s="45"/>
      <c r="Y76" s="44"/>
      <c r="Z76" s="45"/>
      <c r="AA76" s="44"/>
      <c r="AB76" s="78"/>
      <c r="AC76" s="82">
        <f>AE76+AG76+AI76+AK76+AM76</f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>
        <f>AP76+AR76+AT76+AV76</f>
        <v>0</v>
      </c>
      <c r="AO76" s="41"/>
      <c r="AP76" s="40"/>
      <c r="AQ76" s="41"/>
      <c r="AR76" s="40"/>
      <c r="AS76" s="41"/>
      <c r="AT76" s="40"/>
      <c r="AU76" s="41"/>
      <c r="AV76" s="42"/>
      <c r="AW76" s="43">
        <f>AY76+BA76+BC76+BE76</f>
        <v>0</v>
      </c>
      <c r="AX76" s="41"/>
      <c r="AY76" s="40"/>
      <c r="AZ76" s="41"/>
      <c r="BA76" s="40"/>
      <c r="BB76" s="41"/>
      <c r="BC76" s="40"/>
      <c r="BD76" s="41"/>
      <c r="BE76" s="42"/>
      <c r="BF76" s="43">
        <f>BH76+BJ76+BL76+BN76+BP76</f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>
        <f>BS76+BU76+BW76+BY76</f>
        <v>0</v>
      </c>
      <c r="BR76" s="41"/>
      <c r="BS76" s="40"/>
      <c r="BT76" s="41"/>
      <c r="BU76" s="40"/>
      <c r="BV76" s="41"/>
      <c r="BW76" s="40"/>
      <c r="BX76" s="41"/>
      <c r="BY76" s="42"/>
      <c r="BZ76" s="43">
        <f>CB76+CD76+CF76+CH76+CJ76</f>
        <v>0</v>
      </c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43">
        <f>CM76+CO76+CQ76+CS76</f>
        <v>0</v>
      </c>
      <c r="CL76" s="41"/>
      <c r="CM76" s="40"/>
      <c r="CN76" s="41"/>
      <c r="CO76" s="40"/>
      <c r="CP76" s="41"/>
      <c r="CQ76" s="40"/>
      <c r="CR76" s="41"/>
      <c r="CS76" s="42"/>
      <c r="CT76" s="43">
        <f>CV76+CX76+CZ76+DB76</f>
        <v>0</v>
      </c>
      <c r="CU76" s="41"/>
      <c r="CV76" s="40"/>
      <c r="CW76" s="40"/>
      <c r="CX76" s="40"/>
      <c r="CY76" s="40"/>
      <c r="CZ76" s="40"/>
      <c r="DA76" s="41"/>
      <c r="DB76" s="42"/>
      <c r="DC76" s="43">
        <f t="shared" si="28"/>
        <v>0</v>
      </c>
      <c r="DD76" s="41"/>
      <c r="DE76" s="40"/>
      <c r="DF76" s="40"/>
      <c r="DG76" s="40"/>
      <c r="DH76" s="40"/>
      <c r="DI76" s="40"/>
      <c r="DJ76" s="41"/>
      <c r="DK76" s="42"/>
    </row>
    <row r="77" spans="1:115" s="1" customFormat="1" ht="15" hidden="1" customHeight="1" x14ac:dyDescent="0.3">
      <c r="A77" s="2">
        <f t="shared" si="26"/>
        <v>18</v>
      </c>
      <c r="B77" s="14">
        <v>3</v>
      </c>
      <c r="C77" s="5" t="s">
        <v>42</v>
      </c>
      <c r="D77" s="15">
        <v>1994</v>
      </c>
      <c r="E77" s="16">
        <f t="shared" si="27"/>
        <v>0</v>
      </c>
      <c r="F77" s="37"/>
      <c r="G77" s="37"/>
      <c r="H77" s="37"/>
      <c r="I77" s="37"/>
      <c r="J77" s="38">
        <f>L77+N77</f>
        <v>0</v>
      </c>
      <c r="K77" s="39"/>
      <c r="L77" s="40"/>
      <c r="M77" s="41"/>
      <c r="N77" s="42"/>
      <c r="O77" s="38">
        <f>Q77</f>
        <v>0</v>
      </c>
      <c r="P77" s="39"/>
      <c r="Q77" s="42"/>
      <c r="R77" s="43">
        <f>T77+V77+X77+Z77+AB77</f>
        <v>0</v>
      </c>
      <c r="S77" s="44"/>
      <c r="T77" s="45"/>
      <c r="U77" s="44"/>
      <c r="V77" s="45"/>
      <c r="W77" s="44"/>
      <c r="X77" s="45"/>
      <c r="Y77" s="44"/>
      <c r="Z77" s="45"/>
      <c r="AA77" s="44"/>
      <c r="AB77" s="78"/>
      <c r="AC77" s="82">
        <f>AE77+AG77+AI77+AK77+AM77</f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>AP77+AR77+AT77+AV77</f>
        <v>0</v>
      </c>
      <c r="AO77" s="41"/>
      <c r="AP77" s="40"/>
      <c r="AQ77" s="41"/>
      <c r="AR77" s="40"/>
      <c r="AS77" s="41"/>
      <c r="AT77" s="40"/>
      <c r="AU77" s="41"/>
      <c r="AV77" s="42"/>
      <c r="AW77" s="43">
        <f>AY77+BA77+BC77+BE77</f>
        <v>0</v>
      </c>
      <c r="AX77" s="41"/>
      <c r="AY77" s="40"/>
      <c r="AZ77" s="41"/>
      <c r="BA77" s="40"/>
      <c r="BB77" s="41"/>
      <c r="BC77" s="40"/>
      <c r="BD77" s="41"/>
      <c r="BE77" s="42"/>
      <c r="BF77" s="43">
        <f>BH77+BJ77+BL77+BN77+BP77</f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>BS77+BU77+BW77+BY77</f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>CB77+CD77+CF77+CH77+CJ77</f>
        <v>0</v>
      </c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>
        <f>CM77+CO77+CQ77+CS77</f>
        <v>0</v>
      </c>
      <c r="CL77" s="41"/>
      <c r="CM77" s="40"/>
      <c r="CN77" s="41"/>
      <c r="CO77" s="40"/>
      <c r="CP77" s="41"/>
      <c r="CQ77" s="40"/>
      <c r="CR77" s="41"/>
      <c r="CS77" s="42"/>
      <c r="CT77" s="43">
        <f>CV77+CX77+CZ77+DB77</f>
        <v>0</v>
      </c>
      <c r="CU77" s="41"/>
      <c r="CV77" s="40"/>
      <c r="CW77" s="40"/>
      <c r="CX77" s="40"/>
      <c r="CY77" s="40"/>
      <c r="CZ77" s="40"/>
      <c r="DA77" s="41"/>
      <c r="DB77" s="42"/>
      <c r="DC77" s="43">
        <f t="shared" si="28"/>
        <v>0</v>
      </c>
      <c r="DD77" s="41"/>
      <c r="DE77" s="40"/>
      <c r="DF77" s="40"/>
      <c r="DG77" s="40"/>
      <c r="DH77" s="40"/>
      <c r="DI77" s="40"/>
      <c r="DJ77" s="41"/>
      <c r="DK77" s="42"/>
    </row>
    <row r="78" spans="1:115" s="1" customFormat="1" ht="15" customHeight="1" x14ac:dyDescent="0.3">
      <c r="A78" s="126"/>
      <c r="B78" s="127">
        <v>7029</v>
      </c>
      <c r="C78" s="128" t="s">
        <v>92</v>
      </c>
      <c r="D78" s="129">
        <v>2009</v>
      </c>
      <c r="E78" s="130">
        <f t="shared" si="27"/>
        <v>23.6</v>
      </c>
      <c r="F78" s="131" t="s">
        <v>158</v>
      </c>
      <c r="G78" s="37"/>
      <c r="H78" s="37" t="s">
        <v>218</v>
      </c>
      <c r="I78" s="37" t="s">
        <v>219</v>
      </c>
      <c r="J78" s="38"/>
      <c r="K78" s="39"/>
      <c r="L78" s="40"/>
      <c r="M78" s="41"/>
      <c r="N78" s="42"/>
      <c r="O78" s="38"/>
      <c r="P78" s="39"/>
      <c r="Q78" s="42"/>
      <c r="R78" s="43"/>
      <c r="S78" s="44"/>
      <c r="T78" s="45"/>
      <c r="U78" s="44"/>
      <c r="V78" s="45"/>
      <c r="W78" s="44"/>
      <c r="X78" s="45"/>
      <c r="Y78" s="44"/>
      <c r="Z78" s="45"/>
      <c r="AA78" s="44"/>
      <c r="AB78" s="78"/>
      <c r="AC78" s="82"/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/>
      <c r="AO78" s="41"/>
      <c r="AP78" s="40"/>
      <c r="AQ78" s="41"/>
      <c r="AR78" s="40"/>
      <c r="AS78" s="41"/>
      <c r="AT78" s="40"/>
      <c r="AU78" s="41"/>
      <c r="AV78" s="42"/>
      <c r="AW78" s="43"/>
      <c r="AX78" s="41"/>
      <c r="AY78" s="40"/>
      <c r="AZ78" s="41"/>
      <c r="BA78" s="40"/>
      <c r="BB78" s="41"/>
      <c r="BC78" s="40"/>
      <c r="BD78" s="41"/>
      <c r="BE78" s="42"/>
      <c r="BF78" s="43"/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/>
      <c r="BR78" s="41"/>
      <c r="BS78" s="40"/>
      <c r="BT78" s="41"/>
      <c r="BU78" s="40"/>
      <c r="BV78" s="41"/>
      <c r="BW78" s="40"/>
      <c r="BX78" s="41"/>
      <c r="BY78" s="42"/>
      <c r="BZ78" s="43"/>
      <c r="CA78" s="106"/>
      <c r="CB78" s="102"/>
      <c r="CC78" s="41"/>
      <c r="CD78" s="40"/>
      <c r="CE78" s="41"/>
      <c r="CF78" s="40"/>
      <c r="CG78" s="41"/>
      <c r="CH78" s="40"/>
      <c r="CI78" s="41"/>
      <c r="CJ78" s="42"/>
      <c r="CK78" s="43"/>
      <c r="CL78" s="41"/>
      <c r="CM78" s="40"/>
      <c r="CN78" s="41"/>
      <c r="CO78" s="40"/>
      <c r="CP78" s="41"/>
      <c r="CQ78" s="40"/>
      <c r="CR78" s="41"/>
      <c r="CS78" s="42"/>
      <c r="CT78" s="43"/>
      <c r="CU78" s="41"/>
      <c r="CV78" s="40"/>
      <c r="CW78" s="40"/>
      <c r="CX78" s="40"/>
      <c r="CY78" s="40"/>
      <c r="CZ78" s="40"/>
      <c r="DA78" s="41"/>
      <c r="DB78" s="42"/>
      <c r="DC78" s="132">
        <f t="shared" si="28"/>
        <v>23.6</v>
      </c>
      <c r="DD78" s="41"/>
      <c r="DE78" s="40"/>
      <c r="DF78" s="41"/>
      <c r="DG78" s="40"/>
      <c r="DH78" s="41">
        <v>5</v>
      </c>
      <c r="DI78" s="40">
        <f>26*0.4</f>
        <v>10.4</v>
      </c>
      <c r="DJ78" s="86">
        <v>6</v>
      </c>
      <c r="DK78" s="88">
        <f>22*0.4*1.5</f>
        <v>13.200000000000001</v>
      </c>
    </row>
    <row r="79" spans="1:115" s="1" customFormat="1" ht="15" hidden="1" customHeight="1" x14ac:dyDescent="0.3">
      <c r="A79" s="2">
        <f t="shared" si="26"/>
        <v>1</v>
      </c>
      <c r="B79" s="14">
        <v>2335</v>
      </c>
      <c r="C79" s="5" t="s">
        <v>48</v>
      </c>
      <c r="D79" s="15">
        <v>2002</v>
      </c>
      <c r="E79" s="16">
        <f t="shared" si="27"/>
        <v>0</v>
      </c>
      <c r="F79" s="37"/>
      <c r="G79" s="37"/>
      <c r="H79" s="37"/>
      <c r="I79" s="37"/>
      <c r="J79" s="38">
        <f>L79+N79</f>
        <v>0</v>
      </c>
      <c r="K79" s="39"/>
      <c r="L79" s="40"/>
      <c r="M79" s="41"/>
      <c r="N79" s="42"/>
      <c r="O79" s="38">
        <f>Q79</f>
        <v>0</v>
      </c>
      <c r="P79" s="39"/>
      <c r="Q79" s="42"/>
      <c r="R79" s="43">
        <f>T79+V79+X79+Z79+AB79</f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>AE79+AG79+AI79+AK79+AM79</f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>AP79+AR79+AT79+AV79</f>
        <v>0</v>
      </c>
      <c r="AO79" s="41"/>
      <c r="AP79" s="40"/>
      <c r="AQ79" s="41"/>
      <c r="AR79" s="40"/>
      <c r="AS79" s="41"/>
      <c r="AT79" s="40"/>
      <c r="AU79" s="41"/>
      <c r="AV79" s="42"/>
      <c r="AW79" s="43">
        <f>AY79+BA79+BC79+BE79</f>
        <v>0</v>
      </c>
      <c r="AX79" s="41"/>
      <c r="AY79" s="40"/>
      <c r="AZ79" s="41"/>
      <c r="BA79" s="40"/>
      <c r="BB79" s="41"/>
      <c r="BC79" s="40"/>
      <c r="BD79" s="41"/>
      <c r="BE79" s="42"/>
      <c r="BF79" s="43">
        <f>BH79+BJ79+BL79+BN79+BP79</f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>BS79+BU79+BW79+BY79</f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>CB79+CD79+CF79+CH79+CJ79</f>
        <v>0</v>
      </c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>
        <f>CM79+CO79+CQ79+CS79</f>
        <v>0</v>
      </c>
      <c r="CL79" s="41"/>
      <c r="CM79" s="40"/>
      <c r="CN79" s="41"/>
      <c r="CO79" s="40"/>
      <c r="CP79" s="41"/>
      <c r="CQ79" s="40"/>
      <c r="CR79" s="41"/>
      <c r="CS79" s="42"/>
      <c r="CT79" s="43">
        <f>CV79+CX79+CZ79+DB79</f>
        <v>0</v>
      </c>
      <c r="CU79" s="41"/>
      <c r="CV79" s="40"/>
      <c r="CW79" s="40"/>
      <c r="CX79" s="40"/>
      <c r="CY79" s="40"/>
      <c r="CZ79" s="40"/>
      <c r="DA79" s="41"/>
      <c r="DB79" s="42"/>
      <c r="DC79" s="43">
        <f t="shared" si="28"/>
        <v>0</v>
      </c>
      <c r="DD79" s="41"/>
      <c r="DE79" s="40"/>
      <c r="DF79" s="40"/>
      <c r="DG79" s="40"/>
      <c r="DH79" s="40"/>
      <c r="DI79" s="40"/>
      <c r="DJ79" s="41"/>
      <c r="DK79" s="42"/>
    </row>
    <row r="80" spans="1:115" s="1" customFormat="1" ht="15" hidden="1" customHeight="1" x14ac:dyDescent="0.3">
      <c r="A80" s="2">
        <f t="shared" si="26"/>
        <v>2</v>
      </c>
      <c r="B80" s="14">
        <v>3126</v>
      </c>
      <c r="C80" s="5" t="s">
        <v>51</v>
      </c>
      <c r="D80" s="15">
        <v>2002</v>
      </c>
      <c r="E80" s="16">
        <f t="shared" si="27"/>
        <v>0</v>
      </c>
      <c r="F80" s="37"/>
      <c r="G80" s="37"/>
      <c r="H80" s="37"/>
      <c r="I80" s="37"/>
      <c r="J80" s="38">
        <f>L80+N80</f>
        <v>0</v>
      </c>
      <c r="K80" s="39"/>
      <c r="L80" s="40"/>
      <c r="M80" s="41"/>
      <c r="N80" s="42"/>
      <c r="O80" s="38">
        <f>Q80</f>
        <v>0</v>
      </c>
      <c r="P80" s="39"/>
      <c r="Q80" s="42"/>
      <c r="R80" s="43">
        <f>T80+V80+X80+Z80+AB80</f>
        <v>0</v>
      </c>
      <c r="S80" s="44"/>
      <c r="T80" s="45"/>
      <c r="U80" s="44"/>
      <c r="V80" s="45"/>
      <c r="W80" s="44"/>
      <c r="X80" s="45"/>
      <c r="Y80" s="44"/>
      <c r="Z80" s="45"/>
      <c r="AA80" s="44"/>
      <c r="AB80" s="78"/>
      <c r="AC80" s="82">
        <f>AE80+AG80+AI80+AK80+AM80</f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>AP80+AR80+AT80+AV80</f>
        <v>0</v>
      </c>
      <c r="AO80" s="41"/>
      <c r="AP80" s="40"/>
      <c r="AQ80" s="41"/>
      <c r="AR80" s="40"/>
      <c r="AS80" s="41"/>
      <c r="AT80" s="40"/>
      <c r="AU80" s="41"/>
      <c r="AV80" s="42"/>
      <c r="AW80" s="43">
        <f>AY80+BA80+BC80+BE80</f>
        <v>0</v>
      </c>
      <c r="AX80" s="41"/>
      <c r="AY80" s="40"/>
      <c r="AZ80" s="41"/>
      <c r="BA80" s="40"/>
      <c r="BB80" s="41"/>
      <c r="BC80" s="40"/>
      <c r="BD80" s="41"/>
      <c r="BE80" s="42"/>
      <c r="BF80" s="43">
        <f>BH80+BJ80+BL80+BN80+BP80</f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>BS80+BU80+BW80+BY80</f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>CB80+CD80+CF80+CH80+CJ80</f>
        <v>0</v>
      </c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>
        <f>CM80+CO80+CQ80+CS80</f>
        <v>0</v>
      </c>
      <c r="CL80" s="41"/>
      <c r="CM80" s="40"/>
      <c r="CN80" s="41"/>
      <c r="CO80" s="40"/>
      <c r="CP80" s="41"/>
      <c r="CQ80" s="40"/>
      <c r="CR80" s="41"/>
      <c r="CS80" s="42"/>
      <c r="CT80" s="43">
        <f>CV80+CX80+CZ80+DB80</f>
        <v>0</v>
      </c>
      <c r="CU80" s="41"/>
      <c r="CV80" s="40"/>
      <c r="CW80" s="40"/>
      <c r="CX80" s="40"/>
      <c r="CY80" s="40"/>
      <c r="CZ80" s="40"/>
      <c r="DA80" s="41"/>
      <c r="DB80" s="42"/>
      <c r="DC80" s="43">
        <f t="shared" si="28"/>
        <v>0</v>
      </c>
      <c r="DD80" s="41"/>
      <c r="DE80" s="40"/>
      <c r="DF80" s="40"/>
      <c r="DG80" s="40"/>
      <c r="DH80" s="40"/>
      <c r="DI80" s="40"/>
      <c r="DJ80" s="41"/>
      <c r="DK80" s="42"/>
    </row>
    <row r="81" spans="1:115" s="1" customFormat="1" ht="15" hidden="1" customHeight="1" x14ac:dyDescent="0.3">
      <c r="A81" s="2">
        <f t="shared" si="26"/>
        <v>3</v>
      </c>
      <c r="B81" s="14">
        <v>3098</v>
      </c>
      <c r="C81" s="5" t="s">
        <v>118</v>
      </c>
      <c r="D81" s="15">
        <v>2003</v>
      </c>
      <c r="E81" s="16">
        <f t="shared" ref="E81:E112" si="29">J81+O81+R81+AC81+AN81+AW81+BF81+BQ81+BZ81+CK81+CT81+DC81</f>
        <v>0</v>
      </c>
      <c r="F81" s="37"/>
      <c r="G81" s="37"/>
      <c r="H81" s="37"/>
      <c r="I81" s="37"/>
      <c r="J81" s="38">
        <f>L81+N81</f>
        <v>0</v>
      </c>
      <c r="K81" s="39"/>
      <c r="L81" s="40"/>
      <c r="M81" s="41"/>
      <c r="N81" s="42"/>
      <c r="O81" s="38">
        <f>Q81</f>
        <v>0</v>
      </c>
      <c r="P81" s="39"/>
      <c r="Q81" s="42"/>
      <c r="R81" s="43">
        <f>T81+V81+X81+Z81+AB81</f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>AE81+AG81+AI81+AK81+AM81</f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>AP81+AR81+AT81+AV81</f>
        <v>0</v>
      </c>
      <c r="AO81" s="41"/>
      <c r="AP81" s="40"/>
      <c r="AQ81" s="41"/>
      <c r="AR81" s="40"/>
      <c r="AS81" s="41"/>
      <c r="AT81" s="40"/>
      <c r="AU81" s="41"/>
      <c r="AV81" s="42"/>
      <c r="AW81" s="43">
        <f>AY81+BA81+BC81+BE81</f>
        <v>0</v>
      </c>
      <c r="AX81" s="41"/>
      <c r="AY81" s="40"/>
      <c r="AZ81" s="41"/>
      <c r="BA81" s="40"/>
      <c r="BB81" s="41"/>
      <c r="BC81" s="40"/>
      <c r="BD81" s="41"/>
      <c r="BE81" s="42"/>
      <c r="BF81" s="43">
        <f>BH81+BJ81+BL81+BN81+BP81</f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>BS81+BU81+BW81+BY81</f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>CB81+CD81+CF81+CH81+CJ81</f>
        <v>0</v>
      </c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>
        <f>CM81+CO81+CQ81+CS81</f>
        <v>0</v>
      </c>
      <c r="CL81" s="41"/>
      <c r="CM81" s="40"/>
      <c r="CN81" s="41"/>
      <c r="CO81" s="40"/>
      <c r="CP81" s="41"/>
      <c r="CQ81" s="40"/>
      <c r="CR81" s="41"/>
      <c r="CS81" s="42"/>
      <c r="CT81" s="43">
        <f>CV81+CX81+CZ81+DB81</f>
        <v>0</v>
      </c>
      <c r="CU81" s="41"/>
      <c r="CV81" s="40"/>
      <c r="CW81" s="40"/>
      <c r="CX81" s="40"/>
      <c r="CY81" s="40"/>
      <c r="CZ81" s="40"/>
      <c r="DA81" s="41"/>
      <c r="DB81" s="42"/>
      <c r="DC81" s="43">
        <f t="shared" ref="DC81:DC98" si="30">DE81+DG81+DI81+DK81</f>
        <v>0</v>
      </c>
      <c r="DD81" s="41"/>
      <c r="DE81" s="40"/>
      <c r="DF81" s="40"/>
      <c r="DG81" s="40"/>
      <c r="DH81" s="40"/>
      <c r="DI81" s="40"/>
      <c r="DJ81" s="41"/>
      <c r="DK81" s="42"/>
    </row>
    <row r="82" spans="1:115" s="1" customFormat="1" ht="15" customHeight="1" x14ac:dyDescent="0.3">
      <c r="A82" s="2">
        <v>18</v>
      </c>
      <c r="B82" s="14">
        <v>9754</v>
      </c>
      <c r="C82" s="5" t="s">
        <v>130</v>
      </c>
      <c r="D82" s="15">
        <v>2010</v>
      </c>
      <c r="E82" s="16">
        <f t="shared" si="29"/>
        <v>21</v>
      </c>
      <c r="F82" s="37" t="s">
        <v>156</v>
      </c>
      <c r="G82" s="37"/>
      <c r="H82" s="37" t="s">
        <v>178</v>
      </c>
      <c r="I82" s="37"/>
      <c r="J82" s="38"/>
      <c r="K82" s="39"/>
      <c r="L82" s="40"/>
      <c r="M82" s="41"/>
      <c r="N82" s="42"/>
      <c r="O82" s="38"/>
      <c r="P82" s="39"/>
      <c r="Q82" s="42"/>
      <c r="R82" s="43"/>
      <c r="S82" s="44"/>
      <c r="T82" s="45"/>
      <c r="U82" s="96"/>
      <c r="V82" s="45"/>
      <c r="W82" s="44"/>
      <c r="X82" s="45"/>
      <c r="Y82" s="96"/>
      <c r="Z82" s="45"/>
      <c r="AA82" s="44"/>
      <c r="AB82" s="78"/>
      <c r="AC82" s="82"/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/>
      <c r="AO82" s="41"/>
      <c r="AP82" s="40"/>
      <c r="AQ82" s="41"/>
      <c r="AR82" s="40"/>
      <c r="AS82" s="41"/>
      <c r="AT82" s="40"/>
      <c r="AU82" s="41"/>
      <c r="AV82" s="42"/>
      <c r="AW82" s="43"/>
      <c r="AX82" s="41"/>
      <c r="AY82" s="40"/>
      <c r="AZ82" s="41"/>
      <c r="BA82" s="40"/>
      <c r="BB82" s="41"/>
      <c r="BC82" s="40"/>
      <c r="BD82" s="41"/>
      <c r="BE82" s="42"/>
      <c r="BF82" s="43"/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/>
      <c r="BR82" s="41"/>
      <c r="BS82" s="40"/>
      <c r="BT82" s="41"/>
      <c r="BU82" s="40"/>
      <c r="BV82" s="41"/>
      <c r="BW82" s="40"/>
      <c r="BX82" s="41"/>
      <c r="BY82" s="42"/>
      <c r="BZ82" s="43"/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43"/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>
        <f t="shared" si="30"/>
        <v>21</v>
      </c>
      <c r="DD82" s="41"/>
      <c r="DE82" s="40"/>
      <c r="DF82" s="41"/>
      <c r="DG82" s="40"/>
      <c r="DH82" s="41">
        <v>4</v>
      </c>
      <c r="DI82" s="40">
        <f>30*0.4</f>
        <v>12</v>
      </c>
      <c r="DJ82" s="86">
        <v>8</v>
      </c>
      <c r="DK82" s="88">
        <f>15*0.4*1.5</f>
        <v>9</v>
      </c>
    </row>
    <row r="83" spans="1:115" s="1" customFormat="1" ht="15" hidden="1" customHeight="1" x14ac:dyDescent="0.3">
      <c r="A83" s="2">
        <f t="shared" si="26"/>
        <v>19</v>
      </c>
      <c r="B83" s="14">
        <v>7036</v>
      </c>
      <c r="C83" s="5" t="s">
        <v>58</v>
      </c>
      <c r="D83" s="15">
        <v>2008</v>
      </c>
      <c r="E83" s="16">
        <f t="shared" si="29"/>
        <v>0</v>
      </c>
      <c r="F83" s="37"/>
      <c r="G83" s="37"/>
      <c r="H83" s="37"/>
      <c r="I83" s="37"/>
      <c r="J83" s="38">
        <f t="shared" ref="J83:J88" si="31">L83+N83</f>
        <v>0</v>
      </c>
      <c r="K83" s="39"/>
      <c r="L83" s="40"/>
      <c r="M83" s="41"/>
      <c r="N83" s="42"/>
      <c r="O83" s="38">
        <f t="shared" ref="O83:O88" si="32">Q83</f>
        <v>0</v>
      </c>
      <c r="P83" s="39"/>
      <c r="Q83" s="42"/>
      <c r="R83" s="43">
        <f t="shared" ref="R83:R88" si="33">T83+V83+X83+Z83+AB83</f>
        <v>0</v>
      </c>
      <c r="S83" s="44"/>
      <c r="T83" s="45"/>
      <c r="U83" s="44"/>
      <c r="V83" s="45"/>
      <c r="W83" s="44"/>
      <c r="X83" s="45"/>
      <c r="Y83" s="44"/>
      <c r="Z83" s="45"/>
      <c r="AA83" s="44"/>
      <c r="AB83" s="78"/>
      <c r="AC83" s="82">
        <f t="shared" ref="AC83:AC88" si="34">AE83+AG83+AI83+AK83+AM83</f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>
        <f t="shared" ref="AN83:AN88" si="35">AP83+AR83+AT83+AV83</f>
        <v>0</v>
      </c>
      <c r="AO83" s="41"/>
      <c r="AP83" s="40"/>
      <c r="AQ83" s="41"/>
      <c r="AR83" s="40"/>
      <c r="AS83" s="41"/>
      <c r="AT83" s="40"/>
      <c r="AU83" s="41"/>
      <c r="AV83" s="42"/>
      <c r="AW83" s="43">
        <f t="shared" ref="AW83:AW88" si="36">AY83+BA83+BC83+BE83</f>
        <v>0</v>
      </c>
      <c r="AX83" s="41"/>
      <c r="AY83" s="40"/>
      <c r="AZ83" s="41"/>
      <c r="BA83" s="40"/>
      <c r="BB83" s="41"/>
      <c r="BC83" s="40"/>
      <c r="BD83" s="41"/>
      <c r="BE83" s="42"/>
      <c r="BF83" s="43">
        <f t="shared" ref="BF83:BF88" si="37">BH83+BJ83+BL83+BN83+BP83</f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>
        <f t="shared" ref="BQ83:BQ88" si="38">BS83+BU83+BW83+BY83</f>
        <v>0</v>
      </c>
      <c r="BR83" s="41"/>
      <c r="BS83" s="40"/>
      <c r="BT83" s="41"/>
      <c r="BU83" s="40"/>
      <c r="BV83" s="41"/>
      <c r="BW83" s="40"/>
      <c r="BX83" s="41"/>
      <c r="BY83" s="42"/>
      <c r="BZ83" s="43">
        <f t="shared" ref="BZ83:BZ88" si="39">CB83+CD83+CF83+CH83+CJ83</f>
        <v>0</v>
      </c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>
        <f t="shared" ref="CK83:CK88" si="40">CM83+CO83+CQ83+CS83</f>
        <v>0</v>
      </c>
      <c r="CL83" s="41"/>
      <c r="CM83" s="40"/>
      <c r="CN83" s="41"/>
      <c r="CO83" s="40"/>
      <c r="CP83" s="41"/>
      <c r="CQ83" s="40"/>
      <c r="CR83" s="41"/>
      <c r="CS83" s="42"/>
      <c r="CT83" s="43">
        <f t="shared" ref="CT83:CT88" si="41">CV83+CX83+CZ83+DB83</f>
        <v>0</v>
      </c>
      <c r="CU83" s="41"/>
      <c r="CV83" s="40"/>
      <c r="CW83" s="40"/>
      <c r="CX83" s="40"/>
      <c r="CY83" s="40"/>
      <c r="CZ83" s="40"/>
      <c r="DA83" s="41"/>
      <c r="DB83" s="42"/>
      <c r="DC83" s="43">
        <f t="shared" si="30"/>
        <v>0</v>
      </c>
      <c r="DD83" s="41"/>
      <c r="DE83" s="40"/>
      <c r="DF83" s="40"/>
      <c r="DG83" s="40"/>
      <c r="DH83" s="40"/>
      <c r="DI83" s="40"/>
      <c r="DJ83" s="41"/>
      <c r="DK83" s="42"/>
    </row>
    <row r="84" spans="1:115" s="1" customFormat="1" ht="15" hidden="1" customHeight="1" x14ac:dyDescent="0.3">
      <c r="A84" s="2">
        <f t="shared" si="26"/>
        <v>20</v>
      </c>
      <c r="B84" s="14">
        <v>5428</v>
      </c>
      <c r="C84" s="5" t="s">
        <v>78</v>
      </c>
      <c r="D84" s="15">
        <v>2007</v>
      </c>
      <c r="E84" s="16">
        <f t="shared" si="29"/>
        <v>0</v>
      </c>
      <c r="F84" s="37"/>
      <c r="G84" s="37"/>
      <c r="H84" s="37"/>
      <c r="I84" s="37"/>
      <c r="J84" s="38">
        <f t="shared" si="31"/>
        <v>0</v>
      </c>
      <c r="K84" s="39"/>
      <c r="L84" s="40"/>
      <c r="M84" s="41"/>
      <c r="N84" s="42"/>
      <c r="O84" s="38">
        <f t="shared" si="32"/>
        <v>0</v>
      </c>
      <c r="P84" s="39"/>
      <c r="Q84" s="42"/>
      <c r="R84" s="43">
        <f t="shared" si="33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82">
        <f t="shared" si="34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>
        <f t="shared" si="35"/>
        <v>0</v>
      </c>
      <c r="AO84" s="41"/>
      <c r="AP84" s="40"/>
      <c r="AQ84" s="41"/>
      <c r="AR84" s="40"/>
      <c r="AS84" s="41"/>
      <c r="AT84" s="40"/>
      <c r="AU84" s="41"/>
      <c r="AV84" s="42"/>
      <c r="AW84" s="43">
        <f t="shared" si="36"/>
        <v>0</v>
      </c>
      <c r="AX84" s="41"/>
      <c r="AY84" s="40"/>
      <c r="AZ84" s="41"/>
      <c r="BA84" s="40"/>
      <c r="BB84" s="41"/>
      <c r="BC84" s="40"/>
      <c r="BD84" s="41"/>
      <c r="BE84" s="42"/>
      <c r="BF84" s="43">
        <f t="shared" si="37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42"/>
      <c r="BQ84" s="43">
        <f t="shared" si="38"/>
        <v>0</v>
      </c>
      <c r="BR84" s="41"/>
      <c r="BS84" s="40"/>
      <c r="BT84" s="41"/>
      <c r="BU84" s="40"/>
      <c r="BV84" s="41"/>
      <c r="BW84" s="40"/>
      <c r="BX84" s="41"/>
      <c r="BY84" s="42"/>
      <c r="BZ84" s="43">
        <f t="shared" si="39"/>
        <v>0</v>
      </c>
      <c r="CA84" s="106"/>
      <c r="CB84" s="102"/>
      <c r="CC84" s="41"/>
      <c r="CD84" s="40"/>
      <c r="CE84" s="41"/>
      <c r="CF84" s="40"/>
      <c r="CG84" s="41"/>
      <c r="CH84" s="40"/>
      <c r="CI84" s="41"/>
      <c r="CJ84" s="42"/>
      <c r="CK84" s="43">
        <f t="shared" si="40"/>
        <v>0</v>
      </c>
      <c r="CL84" s="41"/>
      <c r="CM84" s="40"/>
      <c r="CN84" s="41"/>
      <c r="CO84" s="40"/>
      <c r="CP84" s="41"/>
      <c r="CQ84" s="40"/>
      <c r="CR84" s="41"/>
      <c r="CS84" s="42"/>
      <c r="CT84" s="43">
        <f t="shared" si="41"/>
        <v>0</v>
      </c>
      <c r="CU84" s="41"/>
      <c r="CV84" s="40"/>
      <c r="CW84" s="40"/>
      <c r="CX84" s="40"/>
      <c r="CY84" s="40"/>
      <c r="CZ84" s="40"/>
      <c r="DA84" s="41"/>
      <c r="DB84" s="42"/>
      <c r="DC84" s="43">
        <f t="shared" si="30"/>
        <v>0</v>
      </c>
      <c r="DD84" s="41"/>
      <c r="DE84" s="40"/>
      <c r="DF84" s="40"/>
      <c r="DG84" s="40"/>
      <c r="DH84" s="40"/>
      <c r="DI84" s="40"/>
      <c r="DJ84" s="41"/>
      <c r="DK84" s="42"/>
    </row>
    <row r="85" spans="1:115" s="1" customFormat="1" ht="15" hidden="1" customHeight="1" x14ac:dyDescent="0.3">
      <c r="A85" s="2">
        <f t="shared" si="26"/>
        <v>21</v>
      </c>
      <c r="B85" s="14">
        <v>5800</v>
      </c>
      <c r="C85" s="5" t="s">
        <v>103</v>
      </c>
      <c r="D85" s="15">
        <v>2004</v>
      </c>
      <c r="E85" s="16">
        <f t="shared" si="29"/>
        <v>0</v>
      </c>
      <c r="F85" s="37"/>
      <c r="G85" s="37"/>
      <c r="H85" s="37"/>
      <c r="I85" s="37"/>
      <c r="J85" s="38">
        <f t="shared" si="31"/>
        <v>0</v>
      </c>
      <c r="K85" s="39"/>
      <c r="L85" s="40"/>
      <c r="M85" s="41"/>
      <c r="N85" s="42"/>
      <c r="O85" s="38">
        <f t="shared" si="32"/>
        <v>0</v>
      </c>
      <c r="P85" s="39"/>
      <c r="Q85" s="42"/>
      <c r="R85" s="43">
        <f t="shared" si="33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34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>
        <f t="shared" si="35"/>
        <v>0</v>
      </c>
      <c r="AO85" s="41"/>
      <c r="AP85" s="40"/>
      <c r="AQ85" s="41"/>
      <c r="AR85" s="40"/>
      <c r="AS85" s="41"/>
      <c r="AT85" s="40"/>
      <c r="AU85" s="41"/>
      <c r="AV85" s="42"/>
      <c r="AW85" s="43">
        <f t="shared" si="36"/>
        <v>0</v>
      </c>
      <c r="AX85" s="41"/>
      <c r="AY85" s="40"/>
      <c r="AZ85" s="41"/>
      <c r="BA85" s="40"/>
      <c r="BB85" s="41"/>
      <c r="BC85" s="40"/>
      <c r="BD85" s="41"/>
      <c r="BE85" s="42"/>
      <c r="BF85" s="43">
        <f t="shared" si="37"/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>
        <f t="shared" si="38"/>
        <v>0</v>
      </c>
      <c r="BR85" s="41"/>
      <c r="BS85" s="40"/>
      <c r="BT85" s="41"/>
      <c r="BU85" s="40"/>
      <c r="BV85" s="41"/>
      <c r="BW85" s="40"/>
      <c r="BX85" s="41"/>
      <c r="BY85" s="42"/>
      <c r="BZ85" s="43">
        <f t="shared" si="39"/>
        <v>0</v>
      </c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>
        <f t="shared" si="40"/>
        <v>0</v>
      </c>
      <c r="CL85" s="41"/>
      <c r="CM85" s="40"/>
      <c r="CN85" s="41"/>
      <c r="CO85" s="40"/>
      <c r="CP85" s="41"/>
      <c r="CQ85" s="40"/>
      <c r="CR85" s="41"/>
      <c r="CS85" s="42"/>
      <c r="CT85" s="43">
        <f t="shared" si="41"/>
        <v>0</v>
      </c>
      <c r="CU85" s="41"/>
      <c r="CV85" s="40"/>
      <c r="CW85" s="40"/>
      <c r="CX85" s="40"/>
      <c r="CY85" s="40"/>
      <c r="CZ85" s="40"/>
      <c r="DA85" s="41"/>
      <c r="DB85" s="42"/>
      <c r="DC85" s="43">
        <f t="shared" si="30"/>
        <v>0</v>
      </c>
      <c r="DD85" s="41"/>
      <c r="DE85" s="40"/>
      <c r="DF85" s="40"/>
      <c r="DG85" s="40"/>
      <c r="DH85" s="40"/>
      <c r="DI85" s="40"/>
      <c r="DJ85" s="41"/>
      <c r="DK85" s="42"/>
    </row>
    <row r="86" spans="1:115" s="1" customFormat="1" ht="15" hidden="1" customHeight="1" x14ac:dyDescent="0.3">
      <c r="A86" s="2">
        <f t="shared" si="26"/>
        <v>22</v>
      </c>
      <c r="B86" s="14">
        <v>5033</v>
      </c>
      <c r="C86" s="5" t="s">
        <v>4</v>
      </c>
      <c r="D86" s="15">
        <v>2004</v>
      </c>
      <c r="E86" s="16">
        <f t="shared" si="29"/>
        <v>0</v>
      </c>
      <c r="F86" s="37"/>
      <c r="G86" s="37"/>
      <c r="H86" s="37"/>
      <c r="I86" s="37"/>
      <c r="J86" s="38">
        <f t="shared" si="31"/>
        <v>0</v>
      </c>
      <c r="K86" s="39"/>
      <c r="L86" s="40"/>
      <c r="M86" s="41"/>
      <c r="N86" s="42"/>
      <c r="O86" s="38">
        <f t="shared" si="32"/>
        <v>0</v>
      </c>
      <c r="P86" s="39"/>
      <c r="Q86" s="42"/>
      <c r="R86" s="43">
        <f t="shared" si="33"/>
        <v>0</v>
      </c>
      <c r="S86" s="44"/>
      <c r="T86" s="45"/>
      <c r="U86" s="96"/>
      <c r="V86" s="45"/>
      <c r="W86" s="44"/>
      <c r="X86" s="45"/>
      <c r="Y86" s="96"/>
      <c r="Z86" s="45"/>
      <c r="AA86" s="44"/>
      <c r="AB86" s="78"/>
      <c r="AC86" s="82">
        <f t="shared" si="34"/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>
        <f t="shared" si="35"/>
        <v>0</v>
      </c>
      <c r="AO86" s="41"/>
      <c r="AP86" s="40"/>
      <c r="AQ86" s="41"/>
      <c r="AR86" s="40"/>
      <c r="AS86" s="41"/>
      <c r="AT86" s="40"/>
      <c r="AU86" s="41"/>
      <c r="AV86" s="42"/>
      <c r="AW86" s="43">
        <f t="shared" si="36"/>
        <v>0</v>
      </c>
      <c r="AX86" s="41"/>
      <c r="AY86" s="40"/>
      <c r="AZ86" s="41"/>
      <c r="BA86" s="40"/>
      <c r="BB86" s="41"/>
      <c r="BC86" s="40"/>
      <c r="BD86" s="41"/>
      <c r="BE86" s="42"/>
      <c r="BF86" s="43">
        <f t="shared" si="37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>
        <f t="shared" si="38"/>
        <v>0</v>
      </c>
      <c r="BR86" s="41"/>
      <c r="BS86" s="40"/>
      <c r="BT86" s="41"/>
      <c r="BU86" s="40"/>
      <c r="BV86" s="41"/>
      <c r="BW86" s="40"/>
      <c r="BX86" s="41"/>
      <c r="BY86" s="42"/>
      <c r="BZ86" s="43">
        <f t="shared" si="39"/>
        <v>0</v>
      </c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43">
        <f t="shared" si="40"/>
        <v>0</v>
      </c>
      <c r="CL86" s="41"/>
      <c r="CM86" s="40"/>
      <c r="CN86" s="41"/>
      <c r="CO86" s="40"/>
      <c r="CP86" s="41"/>
      <c r="CQ86" s="40"/>
      <c r="CR86" s="41"/>
      <c r="CS86" s="42"/>
      <c r="CT86" s="43">
        <f t="shared" si="41"/>
        <v>0</v>
      </c>
      <c r="CU86" s="41"/>
      <c r="CV86" s="40"/>
      <c r="CW86" s="40"/>
      <c r="CX86" s="40"/>
      <c r="CY86" s="40"/>
      <c r="CZ86" s="40"/>
      <c r="DA86" s="41"/>
      <c r="DB86" s="42"/>
      <c r="DC86" s="43">
        <f t="shared" si="30"/>
        <v>0</v>
      </c>
      <c r="DD86" s="41"/>
      <c r="DE86" s="40"/>
      <c r="DF86" s="40"/>
      <c r="DG86" s="40"/>
      <c r="DH86" s="40"/>
      <c r="DI86" s="40"/>
      <c r="DJ86" s="41"/>
      <c r="DK86" s="42"/>
    </row>
    <row r="87" spans="1:115" s="1" customFormat="1" ht="15" hidden="1" customHeight="1" x14ac:dyDescent="0.3">
      <c r="A87" s="2">
        <f t="shared" si="26"/>
        <v>23</v>
      </c>
      <c r="B87" s="14">
        <v>3063</v>
      </c>
      <c r="C87" s="5" t="s">
        <v>7</v>
      </c>
      <c r="D87" s="15">
        <v>2003</v>
      </c>
      <c r="E87" s="16">
        <f t="shared" si="29"/>
        <v>0</v>
      </c>
      <c r="F87" s="37"/>
      <c r="G87" s="37"/>
      <c r="H87" s="37"/>
      <c r="I87" s="37"/>
      <c r="J87" s="38">
        <f t="shared" si="31"/>
        <v>0</v>
      </c>
      <c r="K87" s="39"/>
      <c r="L87" s="40"/>
      <c r="M87" s="41"/>
      <c r="N87" s="42"/>
      <c r="O87" s="38">
        <f t="shared" si="32"/>
        <v>0</v>
      </c>
      <c r="P87" s="39"/>
      <c r="Q87" s="42"/>
      <c r="R87" s="43">
        <f t="shared" si="33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>
        <f t="shared" si="34"/>
        <v>0</v>
      </c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>
        <f t="shared" si="35"/>
        <v>0</v>
      </c>
      <c r="AO87" s="41"/>
      <c r="AP87" s="40"/>
      <c r="AQ87" s="41"/>
      <c r="AR87" s="40"/>
      <c r="AS87" s="41"/>
      <c r="AT87" s="40"/>
      <c r="AU87" s="41"/>
      <c r="AV87" s="42"/>
      <c r="AW87" s="43">
        <f t="shared" si="36"/>
        <v>0</v>
      </c>
      <c r="AX87" s="41"/>
      <c r="AY87" s="40"/>
      <c r="AZ87" s="41"/>
      <c r="BA87" s="40"/>
      <c r="BB87" s="41"/>
      <c r="BC87" s="40"/>
      <c r="BD87" s="41"/>
      <c r="BE87" s="42"/>
      <c r="BF87" s="43">
        <f t="shared" si="37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>
        <f t="shared" si="38"/>
        <v>0</v>
      </c>
      <c r="BR87" s="41"/>
      <c r="BS87" s="40"/>
      <c r="BT87" s="41"/>
      <c r="BU87" s="40"/>
      <c r="BV87" s="41"/>
      <c r="BW87" s="40"/>
      <c r="BX87" s="41"/>
      <c r="BY87" s="42"/>
      <c r="BZ87" s="43">
        <f t="shared" si="39"/>
        <v>0</v>
      </c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>
        <f t="shared" si="40"/>
        <v>0</v>
      </c>
      <c r="CL87" s="41"/>
      <c r="CM87" s="40"/>
      <c r="CN87" s="41"/>
      <c r="CO87" s="40"/>
      <c r="CP87" s="41"/>
      <c r="CQ87" s="40"/>
      <c r="CR87" s="41"/>
      <c r="CS87" s="42"/>
      <c r="CT87" s="43">
        <f t="shared" si="41"/>
        <v>0</v>
      </c>
      <c r="CU87" s="41"/>
      <c r="CV87" s="40"/>
      <c r="CW87" s="40"/>
      <c r="CX87" s="40"/>
      <c r="CY87" s="40"/>
      <c r="CZ87" s="40"/>
      <c r="DA87" s="41"/>
      <c r="DB87" s="42"/>
      <c r="DC87" s="43">
        <f t="shared" si="30"/>
        <v>0</v>
      </c>
      <c r="DD87" s="41"/>
      <c r="DE87" s="40"/>
      <c r="DF87" s="40"/>
      <c r="DG87" s="40"/>
      <c r="DH87" s="40"/>
      <c r="DI87" s="40"/>
      <c r="DJ87" s="41"/>
      <c r="DK87" s="42"/>
    </row>
    <row r="88" spans="1:115" s="1" customFormat="1" ht="15" hidden="1" customHeight="1" x14ac:dyDescent="0.3">
      <c r="A88" s="2">
        <f t="shared" si="26"/>
        <v>24</v>
      </c>
      <c r="B88" s="14">
        <v>6597</v>
      </c>
      <c r="C88" s="5" t="s">
        <v>10</v>
      </c>
      <c r="D88" s="15">
        <v>2008</v>
      </c>
      <c r="E88" s="16">
        <f t="shared" si="29"/>
        <v>0</v>
      </c>
      <c r="F88" s="37"/>
      <c r="G88" s="37"/>
      <c r="H88" s="37"/>
      <c r="I88" s="37"/>
      <c r="J88" s="38">
        <f t="shared" si="31"/>
        <v>0</v>
      </c>
      <c r="K88" s="39"/>
      <c r="L88" s="40"/>
      <c r="M88" s="41"/>
      <c r="N88" s="42"/>
      <c r="O88" s="38">
        <f t="shared" si="32"/>
        <v>0</v>
      </c>
      <c r="P88" s="39"/>
      <c r="Q88" s="42"/>
      <c r="R88" s="43">
        <f t="shared" si="33"/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>
        <f t="shared" si="34"/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>
        <f t="shared" si="35"/>
        <v>0</v>
      </c>
      <c r="AO88" s="41"/>
      <c r="AP88" s="40"/>
      <c r="AQ88" s="41"/>
      <c r="AR88" s="40"/>
      <c r="AS88" s="41"/>
      <c r="AT88" s="40"/>
      <c r="AU88" s="41"/>
      <c r="AV88" s="42"/>
      <c r="AW88" s="43">
        <f t="shared" si="36"/>
        <v>0</v>
      </c>
      <c r="AX88" s="41"/>
      <c r="AY88" s="40"/>
      <c r="AZ88" s="41"/>
      <c r="BA88" s="40"/>
      <c r="BB88" s="41"/>
      <c r="BC88" s="40"/>
      <c r="BD88" s="41"/>
      <c r="BE88" s="42"/>
      <c r="BF88" s="43">
        <f t="shared" si="37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>
        <f t="shared" si="38"/>
        <v>0</v>
      </c>
      <c r="BR88" s="41"/>
      <c r="BS88" s="40"/>
      <c r="BT88" s="41"/>
      <c r="BU88" s="40"/>
      <c r="BV88" s="41"/>
      <c r="BW88" s="40"/>
      <c r="BX88" s="41"/>
      <c r="BY88" s="42"/>
      <c r="BZ88" s="43">
        <f t="shared" si="39"/>
        <v>0</v>
      </c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43">
        <f t="shared" si="40"/>
        <v>0</v>
      </c>
      <c r="CL88" s="41"/>
      <c r="CM88" s="40"/>
      <c r="CN88" s="41"/>
      <c r="CO88" s="40"/>
      <c r="CP88" s="41"/>
      <c r="CQ88" s="40"/>
      <c r="CR88" s="41"/>
      <c r="CS88" s="42"/>
      <c r="CT88" s="43">
        <f t="shared" si="41"/>
        <v>0</v>
      </c>
      <c r="CU88" s="41"/>
      <c r="CV88" s="40"/>
      <c r="CW88" s="40"/>
      <c r="CX88" s="40"/>
      <c r="CY88" s="40"/>
      <c r="CZ88" s="40"/>
      <c r="DA88" s="41"/>
      <c r="DB88" s="42"/>
      <c r="DC88" s="43">
        <f t="shared" si="30"/>
        <v>0</v>
      </c>
      <c r="DD88" s="41"/>
      <c r="DE88" s="40"/>
      <c r="DF88" s="40"/>
      <c r="DG88" s="40"/>
      <c r="DH88" s="40"/>
      <c r="DI88" s="40"/>
      <c r="DJ88" s="41"/>
      <c r="DK88" s="42"/>
    </row>
    <row r="89" spans="1:115" s="1" customFormat="1" ht="15" customHeight="1" x14ac:dyDescent="0.3">
      <c r="A89" s="126"/>
      <c r="B89" s="127">
        <v>6711</v>
      </c>
      <c r="C89" s="128" t="s">
        <v>91</v>
      </c>
      <c r="D89" s="129">
        <v>2009</v>
      </c>
      <c r="E89" s="130">
        <f t="shared" si="29"/>
        <v>21</v>
      </c>
      <c r="F89" s="131" t="s">
        <v>156</v>
      </c>
      <c r="G89" s="37"/>
      <c r="H89" s="37" t="s">
        <v>267</v>
      </c>
      <c r="I89" s="37"/>
      <c r="J89" s="38"/>
      <c r="K89" s="39"/>
      <c r="L89" s="40"/>
      <c r="M89" s="41"/>
      <c r="N89" s="42"/>
      <c r="O89" s="38"/>
      <c r="P89" s="39"/>
      <c r="Q89" s="42"/>
      <c r="R89" s="43"/>
      <c r="S89" s="44"/>
      <c r="T89" s="45"/>
      <c r="U89" s="44"/>
      <c r="V89" s="45"/>
      <c r="W89" s="44"/>
      <c r="X89" s="45"/>
      <c r="Y89" s="44"/>
      <c r="Z89" s="45"/>
      <c r="AA89" s="44"/>
      <c r="AB89" s="78"/>
      <c r="AC89" s="82"/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/>
      <c r="AO89" s="41"/>
      <c r="AP89" s="40"/>
      <c r="AQ89" s="41"/>
      <c r="AR89" s="40"/>
      <c r="AS89" s="41"/>
      <c r="AT89" s="40"/>
      <c r="AU89" s="41"/>
      <c r="AV89" s="42"/>
      <c r="AW89" s="43"/>
      <c r="AX89" s="41"/>
      <c r="AY89" s="40"/>
      <c r="AZ89" s="41"/>
      <c r="BA89" s="40"/>
      <c r="BB89" s="41"/>
      <c r="BC89" s="40"/>
      <c r="BD89" s="41"/>
      <c r="BE89" s="42"/>
      <c r="BF89" s="43"/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/>
      <c r="BR89" s="41"/>
      <c r="BS89" s="40"/>
      <c r="BT89" s="41"/>
      <c r="BU89" s="40"/>
      <c r="BV89" s="41"/>
      <c r="BW89" s="40"/>
      <c r="BX89" s="41"/>
      <c r="BY89" s="42"/>
      <c r="BZ89" s="43"/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/>
      <c r="CL89" s="41"/>
      <c r="CM89" s="40"/>
      <c r="CN89" s="41"/>
      <c r="CO89" s="40"/>
      <c r="CP89" s="41"/>
      <c r="CQ89" s="40"/>
      <c r="CR89" s="41"/>
      <c r="CS89" s="42"/>
      <c r="CT89" s="43"/>
      <c r="CU89" s="41"/>
      <c r="CV89" s="40"/>
      <c r="CW89" s="40"/>
      <c r="CX89" s="40"/>
      <c r="CY89" s="40"/>
      <c r="CZ89" s="40"/>
      <c r="DA89" s="41"/>
      <c r="DB89" s="42"/>
      <c r="DC89" s="132">
        <f t="shared" si="30"/>
        <v>21</v>
      </c>
      <c r="DD89" s="41"/>
      <c r="DE89" s="40"/>
      <c r="DF89" s="41"/>
      <c r="DG89" s="40"/>
      <c r="DH89" s="41">
        <v>4</v>
      </c>
      <c r="DI89" s="40">
        <f>30*0.4</f>
        <v>12</v>
      </c>
      <c r="DJ89" s="86">
        <v>8</v>
      </c>
      <c r="DK89" s="88">
        <f>15*0.4*1.5</f>
        <v>9</v>
      </c>
    </row>
    <row r="90" spans="1:115" s="1" customFormat="1" ht="15" hidden="1" customHeight="1" x14ac:dyDescent="0.3">
      <c r="A90" s="2">
        <f t="shared" si="26"/>
        <v>1</v>
      </c>
      <c r="B90" s="14">
        <v>2675</v>
      </c>
      <c r="C90" s="5" t="s">
        <v>31</v>
      </c>
      <c r="D90" s="15">
        <v>2001</v>
      </c>
      <c r="E90" s="16">
        <f t="shared" si="29"/>
        <v>0</v>
      </c>
      <c r="F90" s="37"/>
      <c r="G90" s="37"/>
      <c r="H90" s="37"/>
      <c r="I90" s="37"/>
      <c r="J90" s="38">
        <f>L90+N90</f>
        <v>0</v>
      </c>
      <c r="K90" s="39"/>
      <c r="L90" s="40"/>
      <c r="M90" s="41"/>
      <c r="N90" s="42"/>
      <c r="O90" s="38">
        <f>Q90</f>
        <v>0</v>
      </c>
      <c r="P90" s="39"/>
      <c r="Q90" s="42"/>
      <c r="R90" s="43">
        <f>T90+V90+X90+Z90+AB90</f>
        <v>0</v>
      </c>
      <c r="S90" s="44"/>
      <c r="T90" s="45"/>
      <c r="U90" s="44"/>
      <c r="V90" s="45"/>
      <c r="W90" s="44"/>
      <c r="X90" s="45"/>
      <c r="Y90" s="44"/>
      <c r="Z90" s="45"/>
      <c r="AA90" s="44"/>
      <c r="AB90" s="78"/>
      <c r="AC90" s="82">
        <f>AE90+AG90+AI90+AK90+AM90</f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>
        <f>AP90+AR90+AT90+AV90</f>
        <v>0</v>
      </c>
      <c r="AO90" s="41"/>
      <c r="AP90" s="40"/>
      <c r="AQ90" s="41"/>
      <c r="AR90" s="40"/>
      <c r="AS90" s="41"/>
      <c r="AT90" s="40"/>
      <c r="AU90" s="41"/>
      <c r="AV90" s="42"/>
      <c r="AW90" s="43">
        <f>AY90+BA90+BC90+BE90</f>
        <v>0</v>
      </c>
      <c r="AX90" s="41"/>
      <c r="AY90" s="40"/>
      <c r="AZ90" s="41"/>
      <c r="BA90" s="40"/>
      <c r="BB90" s="41"/>
      <c r="BC90" s="40"/>
      <c r="BD90" s="41"/>
      <c r="BE90" s="42"/>
      <c r="BF90" s="43">
        <f>BH90+BJ90+BL90+BN90+BP90</f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>
        <f>BS90+BU90+BW90+BY90</f>
        <v>0</v>
      </c>
      <c r="BR90" s="41"/>
      <c r="BS90" s="40"/>
      <c r="BT90" s="41"/>
      <c r="BU90" s="40"/>
      <c r="BV90" s="41"/>
      <c r="BW90" s="40"/>
      <c r="BX90" s="41"/>
      <c r="BY90" s="42"/>
      <c r="BZ90" s="43">
        <f>CB90+CD90+CF90+CH90+CJ90</f>
        <v>0</v>
      </c>
      <c r="CA90" s="106"/>
      <c r="CB90" s="102"/>
      <c r="CC90" s="41"/>
      <c r="CD90" s="40"/>
      <c r="CE90" s="41"/>
      <c r="CF90" s="40"/>
      <c r="CG90" s="41"/>
      <c r="CH90" s="40"/>
      <c r="CI90" s="41"/>
      <c r="CJ90" s="42"/>
      <c r="CK90" s="43">
        <f>CM90+CO90+CQ90+CS90</f>
        <v>0</v>
      </c>
      <c r="CL90" s="41"/>
      <c r="CM90" s="40"/>
      <c r="CN90" s="41"/>
      <c r="CO90" s="40"/>
      <c r="CP90" s="41"/>
      <c r="CQ90" s="40"/>
      <c r="CR90" s="41"/>
      <c r="CS90" s="42"/>
      <c r="CT90" s="43">
        <f>CV90+CX90+CZ90+DB90</f>
        <v>0</v>
      </c>
      <c r="CU90" s="41"/>
      <c r="CV90" s="40"/>
      <c r="CW90" s="40"/>
      <c r="CX90" s="40"/>
      <c r="CY90" s="40"/>
      <c r="CZ90" s="40"/>
      <c r="DA90" s="41"/>
      <c r="DB90" s="42"/>
      <c r="DC90" s="43">
        <f t="shared" si="30"/>
        <v>0</v>
      </c>
      <c r="DD90" s="41"/>
      <c r="DE90" s="40"/>
      <c r="DF90" s="40"/>
      <c r="DG90" s="40"/>
      <c r="DH90" s="40"/>
      <c r="DI90" s="40"/>
      <c r="DJ90" s="41"/>
      <c r="DK90" s="42"/>
    </row>
    <row r="91" spans="1:115" s="1" customFormat="1" ht="15" customHeight="1" x14ac:dyDescent="0.3">
      <c r="A91" s="2">
        <v>20</v>
      </c>
      <c r="B91" s="14">
        <v>9198</v>
      </c>
      <c r="C91" s="5" t="s">
        <v>129</v>
      </c>
      <c r="D91" s="15">
        <v>2011</v>
      </c>
      <c r="E91" s="16">
        <f t="shared" si="29"/>
        <v>10.8</v>
      </c>
      <c r="F91" s="37" t="s">
        <v>158</v>
      </c>
      <c r="G91" s="37"/>
      <c r="H91" s="37" t="s">
        <v>218</v>
      </c>
      <c r="I91" s="37" t="s">
        <v>219</v>
      </c>
      <c r="J91" s="38"/>
      <c r="K91" s="39"/>
      <c r="L91" s="40"/>
      <c r="M91" s="41"/>
      <c r="N91" s="42"/>
      <c r="O91" s="38"/>
      <c r="P91" s="39"/>
      <c r="Q91" s="42"/>
      <c r="R91" s="43"/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/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/>
      <c r="AO91" s="41"/>
      <c r="AP91" s="40"/>
      <c r="AQ91" s="41"/>
      <c r="AR91" s="40"/>
      <c r="AS91" s="41"/>
      <c r="AT91" s="40"/>
      <c r="AU91" s="41"/>
      <c r="AV91" s="42"/>
      <c r="AW91" s="43"/>
      <c r="AX91" s="41"/>
      <c r="AY91" s="40"/>
      <c r="AZ91" s="41"/>
      <c r="BA91" s="40"/>
      <c r="BB91" s="41"/>
      <c r="BC91" s="40"/>
      <c r="BD91" s="41"/>
      <c r="BE91" s="42"/>
      <c r="BF91" s="43"/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/>
      <c r="BR91" s="41"/>
      <c r="BS91" s="40"/>
      <c r="BT91" s="41"/>
      <c r="BU91" s="40"/>
      <c r="BV91" s="41"/>
      <c r="BW91" s="40"/>
      <c r="BX91" s="41"/>
      <c r="BY91" s="42"/>
      <c r="BZ91" s="43"/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/>
      <c r="CL91" s="41"/>
      <c r="CM91" s="40"/>
      <c r="CN91" s="41"/>
      <c r="CO91" s="40"/>
      <c r="CP91" s="41"/>
      <c r="CQ91" s="40"/>
      <c r="CR91" s="41"/>
      <c r="CS91" s="42"/>
      <c r="CT91" s="43"/>
      <c r="CU91" s="86"/>
      <c r="CV91" s="87"/>
      <c r="CW91" s="41"/>
      <c r="CX91" s="40"/>
      <c r="CY91" s="40"/>
      <c r="CZ91" s="40"/>
      <c r="DA91" s="41"/>
      <c r="DB91" s="42"/>
      <c r="DC91" s="43">
        <f t="shared" si="30"/>
        <v>10.8</v>
      </c>
      <c r="DD91" s="41"/>
      <c r="DE91" s="40"/>
      <c r="DF91" s="41"/>
      <c r="DG91" s="40"/>
      <c r="DH91" s="41"/>
      <c r="DI91" s="40"/>
      <c r="DJ91" s="86">
        <v>7</v>
      </c>
      <c r="DK91" s="88">
        <f>18*0.4*1.5</f>
        <v>10.8</v>
      </c>
    </row>
    <row r="92" spans="1:115" s="1" customFormat="1" ht="15" customHeight="1" x14ac:dyDescent="0.3">
      <c r="A92" s="126">
        <v>21</v>
      </c>
      <c r="B92" s="127">
        <v>9839</v>
      </c>
      <c r="C92" s="128" t="s">
        <v>289</v>
      </c>
      <c r="D92" s="129">
        <v>2009</v>
      </c>
      <c r="E92" s="130">
        <f t="shared" si="29"/>
        <v>8.8000000000000007</v>
      </c>
      <c r="F92" s="131" t="s">
        <v>153</v>
      </c>
      <c r="G92" s="37"/>
      <c r="H92" s="37" t="s">
        <v>290</v>
      </c>
      <c r="I92" s="37"/>
      <c r="J92" s="38"/>
      <c r="K92" s="39"/>
      <c r="L92" s="40"/>
      <c r="M92" s="41"/>
      <c r="N92" s="42"/>
      <c r="O92" s="38"/>
      <c r="P92" s="39"/>
      <c r="Q92" s="42"/>
      <c r="R92" s="43"/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/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/>
      <c r="AO92" s="41"/>
      <c r="AP92" s="40"/>
      <c r="AQ92" s="41"/>
      <c r="AR92" s="40"/>
      <c r="AS92" s="41"/>
      <c r="AT92" s="40"/>
      <c r="AU92" s="41"/>
      <c r="AV92" s="42"/>
      <c r="AW92" s="43"/>
      <c r="AX92" s="41"/>
      <c r="AY92" s="40"/>
      <c r="AZ92" s="41"/>
      <c r="BA92" s="40"/>
      <c r="BB92" s="41"/>
      <c r="BC92" s="40"/>
      <c r="BD92" s="41"/>
      <c r="BE92" s="42"/>
      <c r="BF92" s="43"/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/>
      <c r="BR92" s="41"/>
      <c r="BS92" s="40"/>
      <c r="BT92" s="41"/>
      <c r="BU92" s="40"/>
      <c r="BV92" s="41"/>
      <c r="BW92" s="40"/>
      <c r="BX92" s="41"/>
      <c r="BY92" s="42"/>
      <c r="BZ92" s="43"/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/>
      <c r="CL92" s="41"/>
      <c r="CM92" s="40"/>
      <c r="CN92" s="41"/>
      <c r="CO92" s="40"/>
      <c r="CP92" s="41"/>
      <c r="CQ92" s="40"/>
      <c r="CR92" s="41"/>
      <c r="CS92" s="42"/>
      <c r="CT92" s="43"/>
      <c r="CU92" s="41"/>
      <c r="CV92" s="40"/>
      <c r="CW92" s="40"/>
      <c r="CX92" s="40"/>
      <c r="CY92" s="40"/>
      <c r="CZ92" s="40"/>
      <c r="DA92" s="41"/>
      <c r="DB92" s="42"/>
      <c r="DC92" s="132">
        <f t="shared" si="30"/>
        <v>8.8000000000000007</v>
      </c>
      <c r="DD92" s="41"/>
      <c r="DE92" s="40"/>
      <c r="DF92" s="41"/>
      <c r="DG92" s="40"/>
      <c r="DH92" s="41">
        <v>6</v>
      </c>
      <c r="DI92" s="40">
        <f>22*0.4</f>
        <v>8.8000000000000007</v>
      </c>
      <c r="DJ92" s="41"/>
      <c r="DK92" s="42"/>
    </row>
    <row r="93" spans="1:115" s="1" customFormat="1" ht="15" hidden="1" customHeight="1" x14ac:dyDescent="0.3">
      <c r="A93" s="2">
        <f t="shared" si="26"/>
        <v>22</v>
      </c>
      <c r="B93" s="14">
        <v>974</v>
      </c>
      <c r="C93" s="5" t="s">
        <v>114</v>
      </c>
      <c r="D93" s="15">
        <v>1998</v>
      </c>
      <c r="E93" s="16">
        <f t="shared" si="29"/>
        <v>0</v>
      </c>
      <c r="F93" s="37"/>
      <c r="G93" s="37"/>
      <c r="H93" s="37"/>
      <c r="I93" s="37"/>
      <c r="J93" s="38">
        <f>L93+N93</f>
        <v>0</v>
      </c>
      <c r="K93" s="39"/>
      <c r="L93" s="40"/>
      <c r="M93" s="41"/>
      <c r="N93" s="42"/>
      <c r="O93" s="38">
        <f>Q93</f>
        <v>0</v>
      </c>
      <c r="P93" s="39"/>
      <c r="Q93" s="42"/>
      <c r="R93" s="43">
        <f>T93+V93+X93+Z93+AB93</f>
        <v>0</v>
      </c>
      <c r="S93" s="44"/>
      <c r="T93" s="45"/>
      <c r="U93" s="44"/>
      <c r="V93" s="45"/>
      <c r="W93" s="44"/>
      <c r="X93" s="45"/>
      <c r="Y93" s="44"/>
      <c r="Z93" s="45"/>
      <c r="AA93" s="44"/>
      <c r="AB93" s="78"/>
      <c r="AC93" s="82">
        <f>AE93+AG93+AI93+AK93+AM93</f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>AP93+AR93+AT93+AV93</f>
        <v>0</v>
      </c>
      <c r="AO93" s="41"/>
      <c r="AP93" s="40"/>
      <c r="AQ93" s="41"/>
      <c r="AR93" s="40"/>
      <c r="AS93" s="41"/>
      <c r="AT93" s="40"/>
      <c r="AU93" s="41"/>
      <c r="AV93" s="42"/>
      <c r="AW93" s="43">
        <f>AY93+BA93+BC93+BE93</f>
        <v>0</v>
      </c>
      <c r="AX93" s="41"/>
      <c r="AY93" s="40"/>
      <c r="AZ93" s="41"/>
      <c r="BA93" s="40"/>
      <c r="BB93" s="41"/>
      <c r="BC93" s="40"/>
      <c r="BD93" s="41"/>
      <c r="BE93" s="42"/>
      <c r="BF93" s="43">
        <f>BH93+BJ93+BL93+BN93+BP93</f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42"/>
      <c r="BQ93" s="43">
        <f>BS93+BU93+BW93+BY93</f>
        <v>0</v>
      </c>
      <c r="BR93" s="41"/>
      <c r="BS93" s="40"/>
      <c r="BT93" s="41"/>
      <c r="BU93" s="40"/>
      <c r="BV93" s="41"/>
      <c r="BW93" s="40"/>
      <c r="BX93" s="41"/>
      <c r="BY93" s="42"/>
      <c r="BZ93" s="43">
        <f>CB93+CD93+CF93+CH93+CJ93</f>
        <v>0</v>
      </c>
      <c r="CA93" s="106"/>
      <c r="CB93" s="102"/>
      <c r="CC93" s="41"/>
      <c r="CD93" s="40"/>
      <c r="CE93" s="41"/>
      <c r="CF93" s="40"/>
      <c r="CG93" s="41"/>
      <c r="CH93" s="40"/>
      <c r="CI93" s="41"/>
      <c r="CJ93" s="42"/>
      <c r="CK93" s="43">
        <f>CM93+CO93+CQ93+CS93</f>
        <v>0</v>
      </c>
      <c r="CL93" s="41"/>
      <c r="CM93" s="40"/>
      <c r="CN93" s="41"/>
      <c r="CO93" s="40"/>
      <c r="CP93" s="41"/>
      <c r="CQ93" s="40"/>
      <c r="CR93" s="41"/>
      <c r="CS93" s="42"/>
      <c r="CT93" s="43">
        <f>CV93+CX93+CZ93+DB93</f>
        <v>0</v>
      </c>
      <c r="CU93" s="41"/>
      <c r="CV93" s="40"/>
      <c r="CW93" s="40"/>
      <c r="CX93" s="40"/>
      <c r="CY93" s="40"/>
      <c r="CZ93" s="40"/>
      <c r="DA93" s="41"/>
      <c r="DB93" s="42"/>
      <c r="DC93" s="43">
        <f t="shared" si="30"/>
        <v>0</v>
      </c>
      <c r="DD93" s="41"/>
      <c r="DE93" s="40"/>
      <c r="DF93" s="40"/>
      <c r="DG93" s="40"/>
      <c r="DH93" s="40"/>
      <c r="DI93" s="40"/>
      <c r="DJ93" s="41"/>
      <c r="DK93" s="42"/>
    </row>
    <row r="94" spans="1:115" s="1" customFormat="1" ht="15" customHeight="1" x14ac:dyDescent="0.3">
      <c r="A94" s="2"/>
      <c r="B94" s="14">
        <v>9147</v>
      </c>
      <c r="C94" s="5" t="s">
        <v>112</v>
      </c>
      <c r="D94" s="15">
        <v>2009</v>
      </c>
      <c r="E94" s="16">
        <f t="shared" si="29"/>
        <v>8.8000000000000007</v>
      </c>
      <c r="F94" s="37" t="s">
        <v>153</v>
      </c>
      <c r="G94" s="37"/>
      <c r="H94" s="37" t="s">
        <v>244</v>
      </c>
      <c r="I94" s="37" t="s">
        <v>189</v>
      </c>
      <c r="J94" s="38"/>
      <c r="K94" s="39"/>
      <c r="L94" s="40"/>
      <c r="M94" s="41"/>
      <c r="N94" s="42"/>
      <c r="O94" s="38"/>
      <c r="P94" s="39"/>
      <c r="Q94" s="42"/>
      <c r="R94" s="43"/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/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/>
      <c r="AO94" s="41"/>
      <c r="AP94" s="40"/>
      <c r="AQ94" s="41"/>
      <c r="AR94" s="40"/>
      <c r="AS94" s="41"/>
      <c r="AT94" s="40"/>
      <c r="AU94" s="41"/>
      <c r="AV94" s="42"/>
      <c r="AW94" s="43"/>
      <c r="AX94" s="41"/>
      <c r="AY94" s="40"/>
      <c r="AZ94" s="41"/>
      <c r="BA94" s="40"/>
      <c r="BB94" s="41"/>
      <c r="BC94" s="40"/>
      <c r="BD94" s="41"/>
      <c r="BE94" s="42"/>
      <c r="BF94" s="43"/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/>
      <c r="BR94" s="41"/>
      <c r="BS94" s="40"/>
      <c r="BT94" s="41"/>
      <c r="BU94" s="40"/>
      <c r="BV94" s="41"/>
      <c r="BW94" s="40"/>
      <c r="BX94" s="41"/>
      <c r="BY94" s="42"/>
      <c r="BZ94" s="43"/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/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>
        <f t="shared" si="30"/>
        <v>8.8000000000000007</v>
      </c>
      <c r="DD94" s="41"/>
      <c r="DE94" s="40"/>
      <c r="DF94" s="41"/>
      <c r="DG94" s="40"/>
      <c r="DH94" s="41">
        <v>6</v>
      </c>
      <c r="DI94" s="40">
        <f>22*0.4</f>
        <v>8.8000000000000007</v>
      </c>
      <c r="DJ94" s="41"/>
      <c r="DK94" s="42"/>
    </row>
    <row r="95" spans="1:115" s="1" customFormat="1" ht="15" customHeight="1" x14ac:dyDescent="0.3">
      <c r="A95" s="126">
        <v>23</v>
      </c>
      <c r="B95" s="127">
        <v>9535</v>
      </c>
      <c r="C95" s="128" t="s">
        <v>141</v>
      </c>
      <c r="D95" s="129">
        <v>2010</v>
      </c>
      <c r="E95" s="130">
        <f t="shared" si="29"/>
        <v>4.8000000000000007</v>
      </c>
      <c r="F95" s="131" t="s">
        <v>155</v>
      </c>
      <c r="G95" s="37"/>
      <c r="H95" s="37" t="s">
        <v>287</v>
      </c>
      <c r="I95" s="37"/>
      <c r="J95" s="38"/>
      <c r="K95" s="39"/>
      <c r="L95" s="40"/>
      <c r="M95" s="41"/>
      <c r="N95" s="42"/>
      <c r="O95" s="38"/>
      <c r="P95" s="39"/>
      <c r="Q95" s="42"/>
      <c r="R95" s="43"/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/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/>
      <c r="AO95" s="41"/>
      <c r="AP95" s="40"/>
      <c r="AQ95" s="41"/>
      <c r="AR95" s="40"/>
      <c r="AS95" s="41"/>
      <c r="AT95" s="40"/>
      <c r="AU95" s="41"/>
      <c r="AV95" s="42"/>
      <c r="AW95" s="43"/>
      <c r="AX95" s="41"/>
      <c r="AY95" s="40"/>
      <c r="AZ95" s="41"/>
      <c r="BA95" s="40"/>
      <c r="BB95" s="41"/>
      <c r="BC95" s="40"/>
      <c r="BD95" s="41"/>
      <c r="BE95" s="53"/>
      <c r="BF95" s="43"/>
      <c r="BG95" s="41"/>
      <c r="BH95" s="40"/>
      <c r="BI95" s="41"/>
      <c r="BJ95" s="40"/>
      <c r="BK95" s="41"/>
      <c r="BL95" s="40"/>
      <c r="BM95" s="41"/>
      <c r="BN95" s="40"/>
      <c r="BO95" s="41"/>
      <c r="BP95" s="53"/>
      <c r="BQ95" s="43"/>
      <c r="BR95" s="41"/>
      <c r="BS95" s="40"/>
      <c r="BT95" s="41"/>
      <c r="BU95" s="40"/>
      <c r="BV95" s="41"/>
      <c r="BW95" s="40"/>
      <c r="BX95" s="41"/>
      <c r="BY95" s="53"/>
      <c r="BZ95" s="43"/>
      <c r="CA95" s="106"/>
      <c r="CB95" s="102"/>
      <c r="CC95" s="41"/>
      <c r="CD95" s="40"/>
      <c r="CE95" s="41"/>
      <c r="CF95" s="40"/>
      <c r="CG95" s="41"/>
      <c r="CH95" s="40"/>
      <c r="CI95" s="41"/>
      <c r="CJ95" s="53"/>
      <c r="CK95" s="43"/>
      <c r="CL95" s="41"/>
      <c r="CM95" s="40"/>
      <c r="CN95" s="41"/>
      <c r="CO95" s="40"/>
      <c r="CP95" s="41"/>
      <c r="CQ95" s="40"/>
      <c r="CR95" s="41"/>
      <c r="CS95" s="53"/>
      <c r="CT95" s="43"/>
      <c r="CU95" s="41"/>
      <c r="CV95" s="40"/>
      <c r="CW95" s="40"/>
      <c r="CX95" s="40"/>
      <c r="CY95" s="40"/>
      <c r="CZ95" s="40"/>
      <c r="DA95" s="41"/>
      <c r="DB95" s="53"/>
      <c r="DC95" s="132">
        <f t="shared" si="30"/>
        <v>4.8000000000000007</v>
      </c>
      <c r="DD95" s="41"/>
      <c r="DE95" s="40"/>
      <c r="DF95" s="41"/>
      <c r="DG95" s="40"/>
      <c r="DH95" s="41"/>
      <c r="DI95" s="40"/>
      <c r="DJ95" s="86">
        <v>9</v>
      </c>
      <c r="DK95" s="88">
        <f>8*0.4*1.5</f>
        <v>4.8000000000000007</v>
      </c>
    </row>
    <row r="96" spans="1:115" s="1" customFormat="1" ht="15" hidden="1" customHeight="1" x14ac:dyDescent="0.3">
      <c r="A96" s="2">
        <f t="shared" si="26"/>
        <v>24</v>
      </c>
      <c r="B96" s="14">
        <v>6996</v>
      </c>
      <c r="C96" s="5" t="s">
        <v>76</v>
      </c>
      <c r="D96" s="15">
        <v>2008</v>
      </c>
      <c r="E96" s="16">
        <f t="shared" si="29"/>
        <v>0</v>
      </c>
      <c r="F96" s="37"/>
      <c r="G96" s="37"/>
      <c r="H96" s="37"/>
      <c r="I96" s="37"/>
      <c r="J96" s="38">
        <f>L96+N96</f>
        <v>0</v>
      </c>
      <c r="K96" s="39"/>
      <c r="L96" s="40"/>
      <c r="M96" s="41"/>
      <c r="N96" s="42"/>
      <c r="O96" s="38">
        <f>Q96</f>
        <v>0</v>
      </c>
      <c r="P96" s="39"/>
      <c r="Q96" s="42"/>
      <c r="R96" s="43">
        <f>T96+V96+X96+Z96+AB96</f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>
        <f>AE96+AG96+AI96+AK96+AM96</f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>
        <f>AP96+AR96+AT96+AV96</f>
        <v>0</v>
      </c>
      <c r="AO96" s="41"/>
      <c r="AP96" s="40"/>
      <c r="AQ96" s="41"/>
      <c r="AR96" s="40"/>
      <c r="AS96" s="41"/>
      <c r="AT96" s="40"/>
      <c r="AU96" s="41"/>
      <c r="AV96" s="42"/>
      <c r="AW96" s="43">
        <f>AY96+BA96+BC96+BE96</f>
        <v>0</v>
      </c>
      <c r="AX96" s="41"/>
      <c r="AY96" s="40"/>
      <c r="AZ96" s="41"/>
      <c r="BA96" s="40"/>
      <c r="BB96" s="41"/>
      <c r="BC96" s="40"/>
      <c r="BD96" s="41"/>
      <c r="BE96" s="42"/>
      <c r="BF96" s="43">
        <f>BH96+BJ96+BL96+BN96+BP96</f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>
        <f>BS96+BU96+BW96+BY96</f>
        <v>0</v>
      </c>
      <c r="BR96" s="41"/>
      <c r="BS96" s="40"/>
      <c r="BT96" s="41"/>
      <c r="BU96" s="40"/>
      <c r="BV96" s="41"/>
      <c r="BW96" s="40"/>
      <c r="BX96" s="41"/>
      <c r="BY96" s="42"/>
      <c r="BZ96" s="43">
        <f>CB96+CD96+CF96+CH96+CJ96</f>
        <v>0</v>
      </c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>
        <f>CM96+CO96+CQ96+CS96</f>
        <v>0</v>
      </c>
      <c r="CL96" s="41"/>
      <c r="CM96" s="40"/>
      <c r="CN96" s="41"/>
      <c r="CO96" s="40"/>
      <c r="CP96" s="41"/>
      <c r="CQ96" s="40"/>
      <c r="CR96" s="41"/>
      <c r="CS96" s="42"/>
      <c r="CT96" s="43">
        <f>CV96+CX96+CZ96+DB96</f>
        <v>0</v>
      </c>
      <c r="CU96" s="41"/>
      <c r="CV96" s="40"/>
      <c r="CW96" s="40"/>
      <c r="CX96" s="40"/>
      <c r="CY96" s="40"/>
      <c r="CZ96" s="40"/>
      <c r="DA96" s="41"/>
      <c r="DB96" s="42"/>
      <c r="DC96" s="43">
        <f t="shared" si="30"/>
        <v>0</v>
      </c>
      <c r="DD96" s="41"/>
      <c r="DE96" s="40"/>
      <c r="DF96" s="40"/>
      <c r="DG96" s="40"/>
      <c r="DH96" s="40"/>
      <c r="DI96" s="40"/>
      <c r="DJ96" s="41"/>
      <c r="DK96" s="42"/>
    </row>
    <row r="97" spans="1:115" s="1" customFormat="1" ht="15" hidden="1" customHeight="1" x14ac:dyDescent="0.3">
      <c r="A97" s="2">
        <f t="shared" si="26"/>
        <v>25</v>
      </c>
      <c r="B97" s="14">
        <v>7215</v>
      </c>
      <c r="C97" s="5" t="s">
        <v>123</v>
      </c>
      <c r="D97" s="15">
        <v>2008</v>
      </c>
      <c r="E97" s="16">
        <f t="shared" si="29"/>
        <v>0</v>
      </c>
      <c r="F97" s="37"/>
      <c r="G97" s="37"/>
      <c r="H97" s="37"/>
      <c r="I97" s="37"/>
      <c r="J97" s="38">
        <f>L97+N97</f>
        <v>0</v>
      </c>
      <c r="K97" s="39"/>
      <c r="L97" s="40"/>
      <c r="M97" s="41"/>
      <c r="N97" s="42"/>
      <c r="O97" s="38">
        <f>Q97</f>
        <v>0</v>
      </c>
      <c r="P97" s="39"/>
      <c r="Q97" s="42"/>
      <c r="R97" s="43">
        <f>T97+V97+X97+Z97+AB97</f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>
        <f>AE97+AG97+AI97+AK97+AM97</f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>
        <f>AP97+AR97+AT97+AV97</f>
        <v>0</v>
      </c>
      <c r="AO97" s="41"/>
      <c r="AP97" s="40"/>
      <c r="AQ97" s="41"/>
      <c r="AR97" s="40"/>
      <c r="AS97" s="41"/>
      <c r="AT97" s="40"/>
      <c r="AU97" s="41"/>
      <c r="AV97" s="42"/>
      <c r="AW97" s="43">
        <f>AY97+BA97+BC97+BE97</f>
        <v>0</v>
      </c>
      <c r="AX97" s="41"/>
      <c r="AY97" s="40"/>
      <c r="AZ97" s="41"/>
      <c r="BA97" s="40"/>
      <c r="BB97" s="41"/>
      <c r="BC97" s="40"/>
      <c r="BD97" s="41"/>
      <c r="BE97" s="42"/>
      <c r="BF97" s="43">
        <f>BH97+BJ97+BL97+BN97+BP97</f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>
        <f>BS97+BU97+BW97+BY97</f>
        <v>0</v>
      </c>
      <c r="BR97" s="41"/>
      <c r="BS97" s="40"/>
      <c r="BT97" s="41"/>
      <c r="BU97" s="40"/>
      <c r="BV97" s="41"/>
      <c r="BW97" s="40"/>
      <c r="BX97" s="41"/>
      <c r="BY97" s="42"/>
      <c r="BZ97" s="43">
        <f>CB97+CD97+CF97+CH97+CJ97</f>
        <v>0</v>
      </c>
      <c r="CA97" s="106"/>
      <c r="CB97" s="102"/>
      <c r="CC97" s="41"/>
      <c r="CD97" s="40"/>
      <c r="CE97" s="41"/>
      <c r="CF97" s="40"/>
      <c r="CG97" s="41"/>
      <c r="CH97" s="40"/>
      <c r="CI97" s="41"/>
      <c r="CJ97" s="42"/>
      <c r="CK97" s="43">
        <f>CM97+CO97+CQ97+CS97</f>
        <v>0</v>
      </c>
      <c r="CL97" s="41"/>
      <c r="CM97" s="40"/>
      <c r="CN97" s="41"/>
      <c r="CO97" s="40"/>
      <c r="CP97" s="41"/>
      <c r="CQ97" s="40"/>
      <c r="CR97" s="41"/>
      <c r="CS97" s="42"/>
      <c r="CT97" s="43">
        <f>CV97+CX97+CZ97+DB97</f>
        <v>0</v>
      </c>
      <c r="CU97" s="41"/>
      <c r="CV97" s="40"/>
      <c r="CW97" s="40"/>
      <c r="CX97" s="40"/>
      <c r="CY97" s="40"/>
      <c r="CZ97" s="40"/>
      <c r="DA97" s="41"/>
      <c r="DB97" s="42"/>
      <c r="DC97" s="43">
        <f t="shared" si="30"/>
        <v>0</v>
      </c>
      <c r="DD97" s="41"/>
      <c r="DE97" s="40"/>
      <c r="DF97" s="40"/>
      <c r="DG97" s="40"/>
      <c r="DH97" s="40"/>
      <c r="DI97" s="40"/>
      <c r="DJ97" s="41"/>
      <c r="DK97" s="42"/>
    </row>
    <row r="98" spans="1:115" s="1" customFormat="1" ht="15" hidden="1" customHeight="1" x14ac:dyDescent="0.3">
      <c r="A98" s="2">
        <f t="shared" si="26"/>
        <v>26</v>
      </c>
      <c r="B98" s="14">
        <v>2471</v>
      </c>
      <c r="C98" s="5" t="s">
        <v>17</v>
      </c>
      <c r="D98" s="15">
        <v>2002</v>
      </c>
      <c r="E98" s="16">
        <f t="shared" si="29"/>
        <v>0</v>
      </c>
      <c r="F98" s="37"/>
      <c r="G98" s="37"/>
      <c r="H98" s="37"/>
      <c r="I98" s="37"/>
      <c r="J98" s="38">
        <f>L98+N98</f>
        <v>0</v>
      </c>
      <c r="K98" s="39"/>
      <c r="L98" s="40"/>
      <c r="M98" s="41"/>
      <c r="N98" s="42"/>
      <c r="O98" s="38">
        <f>Q98</f>
        <v>0</v>
      </c>
      <c r="P98" s="39"/>
      <c r="Q98" s="42"/>
      <c r="R98" s="43">
        <f>T98+V98+X98+Z98+AB98</f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>AE98+AG98+AI98+AK98+AM98</f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>
        <f>AP98+AR98+AT98+AV98</f>
        <v>0</v>
      </c>
      <c r="AO98" s="41"/>
      <c r="AP98" s="40"/>
      <c r="AQ98" s="41"/>
      <c r="AR98" s="40"/>
      <c r="AS98" s="41"/>
      <c r="AT98" s="40"/>
      <c r="AU98" s="41"/>
      <c r="AV98" s="42"/>
      <c r="AW98" s="43">
        <f>AY98+BA98+BC98+BE98</f>
        <v>0</v>
      </c>
      <c r="AX98" s="41"/>
      <c r="AY98" s="40"/>
      <c r="AZ98" s="41"/>
      <c r="BA98" s="40"/>
      <c r="BB98" s="41"/>
      <c r="BC98" s="40"/>
      <c r="BD98" s="41"/>
      <c r="BE98" s="42"/>
      <c r="BF98" s="43">
        <f>BH98+BJ98+BL98+BN98+BP98</f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>
        <f>BS98+BU98+BW98+BY98</f>
        <v>0</v>
      </c>
      <c r="BR98" s="41"/>
      <c r="BS98" s="40"/>
      <c r="BT98" s="41"/>
      <c r="BU98" s="40"/>
      <c r="BV98" s="41"/>
      <c r="BW98" s="40"/>
      <c r="BX98" s="41"/>
      <c r="BY98" s="42"/>
      <c r="BZ98" s="43">
        <f>CB98+CD98+CF98+CH98+CJ98</f>
        <v>0</v>
      </c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>
        <f>CM98+CO98+CQ98+CS98</f>
        <v>0</v>
      </c>
      <c r="CL98" s="41"/>
      <c r="CM98" s="40"/>
      <c r="CN98" s="41"/>
      <c r="CO98" s="40"/>
      <c r="CP98" s="41"/>
      <c r="CQ98" s="40"/>
      <c r="CR98" s="41"/>
      <c r="CS98" s="42"/>
      <c r="CT98" s="43">
        <f>CV98+CX98+CZ98+DB98</f>
        <v>0</v>
      </c>
      <c r="CU98" s="41"/>
      <c r="CV98" s="40"/>
      <c r="CW98" s="40"/>
      <c r="CX98" s="40"/>
      <c r="CY98" s="40"/>
      <c r="CZ98" s="40"/>
      <c r="DA98" s="41"/>
      <c r="DB98" s="42"/>
      <c r="DC98" s="43">
        <f t="shared" si="30"/>
        <v>0</v>
      </c>
      <c r="DD98" s="41"/>
      <c r="DE98" s="40"/>
      <c r="DF98" s="40"/>
      <c r="DG98" s="40"/>
      <c r="DH98" s="40"/>
      <c r="DI98" s="40"/>
      <c r="DJ98" s="41"/>
      <c r="DK98" s="42"/>
    </row>
    <row r="99" spans="1:115" s="1" customFormat="1" ht="15" customHeight="1" x14ac:dyDescent="0.3">
      <c r="A99" s="2">
        <v>23</v>
      </c>
      <c r="B99" s="14">
        <v>1063</v>
      </c>
      <c r="C99" s="5" t="s">
        <v>285</v>
      </c>
      <c r="D99" s="15">
        <v>2010</v>
      </c>
      <c r="E99" s="16">
        <f t="shared" si="29"/>
        <v>4.8000000000000007</v>
      </c>
      <c r="F99" s="37" t="s">
        <v>155</v>
      </c>
      <c r="G99" s="37"/>
      <c r="H99" s="37" t="s">
        <v>286</v>
      </c>
      <c r="I99" s="37"/>
      <c r="J99" s="38"/>
      <c r="K99" s="39"/>
      <c r="L99" s="40"/>
      <c r="M99" s="41"/>
      <c r="N99" s="42"/>
      <c r="O99" s="38"/>
      <c r="P99" s="39"/>
      <c r="Q99" s="42"/>
      <c r="R99" s="43"/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/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/>
      <c r="AO99" s="41"/>
      <c r="AP99" s="40"/>
      <c r="AQ99" s="41"/>
      <c r="AR99" s="40"/>
      <c r="AS99" s="41"/>
      <c r="AT99" s="40"/>
      <c r="AU99" s="41"/>
      <c r="AV99" s="42"/>
      <c r="AW99" s="43"/>
      <c r="AX99" s="41"/>
      <c r="AY99" s="40"/>
      <c r="AZ99" s="41"/>
      <c r="BA99" s="40"/>
      <c r="BB99" s="41"/>
      <c r="BC99" s="40"/>
      <c r="BD99" s="41"/>
      <c r="BE99" s="42"/>
      <c r="BF99" s="43"/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/>
      <c r="BR99" s="41"/>
      <c r="BS99" s="40"/>
      <c r="BT99" s="41"/>
      <c r="BU99" s="40"/>
      <c r="BV99" s="41"/>
      <c r="BW99" s="40"/>
      <c r="BX99" s="41"/>
      <c r="BY99" s="42"/>
      <c r="BZ99" s="43"/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/>
      <c r="CL99" s="41"/>
      <c r="CM99" s="40"/>
      <c r="CN99" s="41"/>
      <c r="CO99" s="40"/>
      <c r="CP99" s="41"/>
      <c r="CQ99" s="40"/>
      <c r="CR99" s="41"/>
      <c r="CS99" s="42"/>
      <c r="CT99" s="43"/>
      <c r="CU99" s="41"/>
      <c r="CV99" s="40"/>
      <c r="CW99" s="40"/>
      <c r="CX99" s="40"/>
      <c r="CY99" s="40"/>
      <c r="CZ99" s="40"/>
      <c r="DA99" s="41"/>
      <c r="DB99" s="42"/>
      <c r="DC99" s="43">
        <f>DE99+DG99+DK99</f>
        <v>4.8000000000000007</v>
      </c>
      <c r="DD99" s="41"/>
      <c r="DE99" s="40"/>
      <c r="DF99" s="41"/>
      <c r="DG99" s="40"/>
      <c r="DH99" s="35">
        <v>8</v>
      </c>
      <c r="DI99" s="35" t="s">
        <v>110</v>
      </c>
      <c r="DJ99" s="86">
        <v>9</v>
      </c>
      <c r="DK99" s="88">
        <f>8*0.4*1.5</f>
        <v>4.8000000000000007</v>
      </c>
    </row>
    <row r="100" spans="1:115" s="1" customFormat="1" ht="15" hidden="1" customHeight="1" x14ac:dyDescent="0.3">
      <c r="A100" s="2">
        <f t="shared" si="26"/>
        <v>24</v>
      </c>
      <c r="B100" s="14">
        <v>2709</v>
      </c>
      <c r="C100" s="5" t="s">
        <v>26</v>
      </c>
      <c r="D100" s="15">
        <v>2001</v>
      </c>
      <c r="E100" s="16">
        <f t="shared" si="29"/>
        <v>0</v>
      </c>
      <c r="F100" s="37"/>
      <c r="G100" s="37"/>
      <c r="H100" s="37"/>
      <c r="I100" s="37"/>
      <c r="J100" s="38">
        <f>L100+N100</f>
        <v>0</v>
      </c>
      <c r="K100" s="39"/>
      <c r="L100" s="40"/>
      <c r="M100" s="41"/>
      <c r="N100" s="42"/>
      <c r="O100" s="38">
        <f>Q100</f>
        <v>0</v>
      </c>
      <c r="P100" s="39"/>
      <c r="Q100" s="42"/>
      <c r="R100" s="43">
        <f>T100+V100+X100+Z100+AB100</f>
        <v>0</v>
      </c>
      <c r="S100" s="44"/>
      <c r="T100" s="45"/>
      <c r="U100" s="44"/>
      <c r="V100" s="45"/>
      <c r="W100" s="44"/>
      <c r="X100" s="45"/>
      <c r="Y100" s="44"/>
      <c r="Z100" s="45"/>
      <c r="AA100" s="44"/>
      <c r="AB100" s="78"/>
      <c r="AC100" s="82">
        <f>AE100+AG100+AI100+AK100+AM100</f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>
        <f>AP100+AR100+AT100+AV100</f>
        <v>0</v>
      </c>
      <c r="AO100" s="41"/>
      <c r="AP100" s="40"/>
      <c r="AQ100" s="41"/>
      <c r="AR100" s="40"/>
      <c r="AS100" s="41"/>
      <c r="AT100" s="40"/>
      <c r="AU100" s="41"/>
      <c r="AV100" s="42"/>
      <c r="AW100" s="43">
        <f>AY100+BA100+BC100+BE100</f>
        <v>0</v>
      </c>
      <c r="AX100" s="41"/>
      <c r="AY100" s="40"/>
      <c r="AZ100" s="41"/>
      <c r="BA100" s="40"/>
      <c r="BB100" s="41"/>
      <c r="BC100" s="40"/>
      <c r="BD100" s="41"/>
      <c r="BE100" s="42"/>
      <c r="BF100" s="43">
        <f>BH100+BJ100+BL100+BN100+BP100</f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>
        <f>BS100+BU100+BW100+BY100</f>
        <v>0</v>
      </c>
      <c r="BR100" s="41"/>
      <c r="BS100" s="40"/>
      <c r="BT100" s="41"/>
      <c r="BU100" s="40"/>
      <c r="BV100" s="41"/>
      <c r="BW100" s="40"/>
      <c r="BX100" s="41"/>
      <c r="BY100" s="42"/>
      <c r="BZ100" s="43">
        <f>CB100+CD100+CF100+CH100+CJ100</f>
        <v>0</v>
      </c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>
        <f>CM100+CO100+CQ100+CS100</f>
        <v>0</v>
      </c>
      <c r="CL100" s="41"/>
      <c r="CM100" s="40"/>
      <c r="CN100" s="41"/>
      <c r="CO100" s="40"/>
      <c r="CP100" s="41"/>
      <c r="CQ100" s="40"/>
      <c r="CR100" s="41"/>
      <c r="CS100" s="42"/>
      <c r="CT100" s="43">
        <f>CV100+CX100+CZ100+DB100</f>
        <v>0</v>
      </c>
      <c r="CU100" s="41"/>
      <c r="CV100" s="40"/>
      <c r="CW100" s="40"/>
      <c r="CX100" s="40"/>
      <c r="CY100" s="40"/>
      <c r="CZ100" s="40"/>
      <c r="DA100" s="41"/>
      <c r="DB100" s="42"/>
      <c r="DC100" s="43">
        <f t="shared" ref="DC100:DC109" si="42">DE100+DG100+DI100+DK100</f>
        <v>0</v>
      </c>
      <c r="DD100" s="41"/>
      <c r="DE100" s="40"/>
      <c r="DF100" s="40"/>
      <c r="DG100" s="40"/>
      <c r="DH100" s="40"/>
      <c r="DI100" s="40"/>
      <c r="DJ100" s="41"/>
      <c r="DK100" s="42"/>
    </row>
    <row r="101" spans="1:115" s="1" customFormat="1" ht="15" hidden="1" customHeight="1" x14ac:dyDescent="0.3">
      <c r="A101" s="2"/>
      <c r="B101" s="14">
        <v>9775</v>
      </c>
      <c r="C101" s="5" t="s">
        <v>132</v>
      </c>
      <c r="D101" s="15">
        <v>2010</v>
      </c>
      <c r="E101" s="16">
        <f t="shared" si="29"/>
        <v>0</v>
      </c>
      <c r="F101" s="37"/>
      <c r="G101" s="37"/>
      <c r="H101" s="37"/>
      <c r="I101" s="37"/>
      <c r="J101" s="38"/>
      <c r="K101" s="39"/>
      <c r="L101" s="40"/>
      <c r="M101" s="41"/>
      <c r="N101" s="42"/>
      <c r="O101" s="38"/>
      <c r="P101" s="39"/>
      <c r="Q101" s="42"/>
      <c r="R101" s="43"/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/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/>
      <c r="AO101" s="41"/>
      <c r="AP101" s="40"/>
      <c r="AQ101" s="41"/>
      <c r="AR101" s="40"/>
      <c r="AS101" s="41"/>
      <c r="AT101" s="40"/>
      <c r="AU101" s="41"/>
      <c r="AV101" s="42"/>
      <c r="AW101" s="43"/>
      <c r="AX101" s="41"/>
      <c r="AY101" s="40"/>
      <c r="AZ101" s="41"/>
      <c r="BA101" s="40"/>
      <c r="BB101" s="41"/>
      <c r="BC101" s="40"/>
      <c r="BD101" s="41"/>
      <c r="BE101" s="42"/>
      <c r="BF101" s="43"/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/>
      <c r="BR101" s="41"/>
      <c r="BS101" s="40"/>
      <c r="BT101" s="41"/>
      <c r="BU101" s="40"/>
      <c r="BV101" s="41"/>
      <c r="BW101" s="40"/>
      <c r="BX101" s="41"/>
      <c r="BY101" s="42"/>
      <c r="BZ101" s="43"/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/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>
        <f t="shared" si="42"/>
        <v>0</v>
      </c>
      <c r="DD101" s="41"/>
      <c r="DE101" s="40"/>
      <c r="DF101" s="41"/>
      <c r="DG101" s="40"/>
      <c r="DH101" s="41"/>
      <c r="DI101" s="40"/>
      <c r="DJ101" s="41"/>
      <c r="DK101" s="42"/>
    </row>
    <row r="102" spans="1:115" s="1" customFormat="1" ht="15" hidden="1" customHeight="1" x14ac:dyDescent="0.3">
      <c r="A102" s="2">
        <f t="shared" si="26"/>
        <v>1</v>
      </c>
      <c r="B102" s="14">
        <v>5955</v>
      </c>
      <c r="C102" s="5" t="s">
        <v>62</v>
      </c>
      <c r="D102" s="15">
        <v>2008</v>
      </c>
      <c r="E102" s="16">
        <f t="shared" si="29"/>
        <v>0</v>
      </c>
      <c r="F102" s="37" t="s">
        <v>156</v>
      </c>
      <c r="G102" s="37"/>
      <c r="H102" s="37" t="s">
        <v>231</v>
      </c>
      <c r="I102" s="37" t="s">
        <v>232</v>
      </c>
      <c r="J102" s="38">
        <f>L102+N102</f>
        <v>0</v>
      </c>
      <c r="K102" s="39"/>
      <c r="L102" s="40"/>
      <c r="M102" s="41"/>
      <c r="N102" s="42"/>
      <c r="O102" s="38">
        <f>Q102</f>
        <v>0</v>
      </c>
      <c r="P102" s="39"/>
      <c r="Q102" s="42"/>
      <c r="R102" s="43">
        <f>T102+V102+X102+Z102+AB102</f>
        <v>0</v>
      </c>
      <c r="S102" s="44"/>
      <c r="T102" s="45"/>
      <c r="U102" s="44"/>
      <c r="V102" s="45"/>
      <c r="W102" s="44"/>
      <c r="X102" s="45"/>
      <c r="Y102" s="44"/>
      <c r="Z102" s="45"/>
      <c r="AA102" s="44"/>
      <c r="AB102" s="78"/>
      <c r="AC102" s="82">
        <f>AE102+AG102+AI102+AK102+AM102</f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>AP102+AR102+AT102+AV102</f>
        <v>0</v>
      </c>
      <c r="AO102" s="41"/>
      <c r="AP102" s="40"/>
      <c r="AQ102" s="41"/>
      <c r="AR102" s="40"/>
      <c r="AS102" s="41"/>
      <c r="AT102" s="40"/>
      <c r="AU102" s="41"/>
      <c r="AV102" s="42"/>
      <c r="AW102" s="43">
        <f>AY102+BA102+BC102+BE102</f>
        <v>0</v>
      </c>
      <c r="AX102" s="41"/>
      <c r="AY102" s="40"/>
      <c r="AZ102" s="41"/>
      <c r="BA102" s="40"/>
      <c r="BB102" s="41"/>
      <c r="BC102" s="40"/>
      <c r="BD102" s="41"/>
      <c r="BE102" s="42"/>
      <c r="BF102" s="43">
        <f>BH102+BJ102+BL102</f>
        <v>0</v>
      </c>
      <c r="BG102" s="41"/>
      <c r="BH102" s="40"/>
      <c r="BI102" s="41"/>
      <c r="BJ102" s="40"/>
      <c r="BK102" s="41"/>
      <c r="BL102" s="40"/>
      <c r="BM102" s="35">
        <v>6</v>
      </c>
      <c r="BN102" s="35" t="s">
        <v>110</v>
      </c>
      <c r="BO102" s="35">
        <v>9</v>
      </c>
      <c r="BP102" s="89" t="s">
        <v>110</v>
      </c>
      <c r="BQ102" s="43">
        <f>BS102+BU102+BW102+BY102</f>
        <v>0</v>
      </c>
      <c r="BR102" s="41"/>
      <c r="BS102" s="40"/>
      <c r="BT102" s="41"/>
      <c r="BU102" s="40"/>
      <c r="BV102" s="41"/>
      <c r="BW102" s="40"/>
      <c r="BX102" s="41"/>
      <c r="BY102" s="53"/>
      <c r="BZ102" s="43">
        <f>CB102+CD102+CF102+CH102+CJ102</f>
        <v>0</v>
      </c>
      <c r="CA102" s="106"/>
      <c r="CB102" s="102"/>
      <c r="CC102" s="41"/>
      <c r="CD102" s="40"/>
      <c r="CE102" s="41"/>
      <c r="CF102" s="40"/>
      <c r="CG102" s="41"/>
      <c r="CH102" s="40"/>
      <c r="CI102" s="41"/>
      <c r="CJ102" s="53"/>
      <c r="CK102" s="43">
        <f>CM102+CO102+CQ102+CS102</f>
        <v>0</v>
      </c>
      <c r="CL102" s="41"/>
      <c r="CM102" s="40"/>
      <c r="CN102" s="41"/>
      <c r="CO102" s="40"/>
      <c r="CP102" s="41"/>
      <c r="CQ102" s="40"/>
      <c r="CR102" s="41"/>
      <c r="CS102" s="53"/>
      <c r="CT102" s="43">
        <f>CV102+CX102+CZ102+DB102</f>
        <v>0</v>
      </c>
      <c r="CU102" s="41"/>
      <c r="CV102" s="40"/>
      <c r="CW102" s="40"/>
      <c r="CX102" s="40"/>
      <c r="CY102" s="40"/>
      <c r="CZ102" s="40"/>
      <c r="DA102" s="41"/>
      <c r="DB102" s="53"/>
      <c r="DC102" s="43">
        <f t="shared" si="42"/>
        <v>0</v>
      </c>
      <c r="DD102" s="41"/>
      <c r="DE102" s="40"/>
      <c r="DF102" s="40"/>
      <c r="DG102" s="40"/>
      <c r="DH102" s="40"/>
      <c r="DI102" s="40"/>
      <c r="DJ102" s="41"/>
      <c r="DK102" s="53"/>
    </row>
    <row r="103" spans="1:115" s="1" customFormat="1" ht="15" hidden="1" customHeight="1" x14ac:dyDescent="0.3">
      <c r="A103" s="2"/>
      <c r="B103" s="14">
        <v>7202</v>
      </c>
      <c r="C103" s="5" t="s">
        <v>138</v>
      </c>
      <c r="D103" s="15">
        <v>2010</v>
      </c>
      <c r="E103" s="16">
        <f t="shared" si="29"/>
        <v>0</v>
      </c>
      <c r="F103" s="37"/>
      <c r="G103" s="37"/>
      <c r="H103" s="37"/>
      <c r="I103" s="37"/>
      <c r="J103" s="38"/>
      <c r="K103" s="39"/>
      <c r="L103" s="40"/>
      <c r="M103" s="41"/>
      <c r="N103" s="42"/>
      <c r="O103" s="38"/>
      <c r="P103" s="39"/>
      <c r="Q103" s="42"/>
      <c r="R103" s="43"/>
      <c r="S103" s="44"/>
      <c r="T103" s="45"/>
      <c r="U103" s="44"/>
      <c r="V103" s="45"/>
      <c r="W103" s="44"/>
      <c r="X103" s="45"/>
      <c r="Y103" s="44"/>
      <c r="Z103" s="45"/>
      <c r="AA103" s="44"/>
      <c r="AB103" s="78"/>
      <c r="AC103" s="82"/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/>
      <c r="AO103" s="41"/>
      <c r="AP103" s="40"/>
      <c r="AQ103" s="41"/>
      <c r="AR103" s="40"/>
      <c r="AS103" s="41"/>
      <c r="AT103" s="40"/>
      <c r="AU103" s="41"/>
      <c r="AV103" s="42"/>
      <c r="AW103" s="43"/>
      <c r="AX103" s="41"/>
      <c r="AY103" s="40"/>
      <c r="AZ103" s="41"/>
      <c r="BA103" s="40"/>
      <c r="BB103" s="41"/>
      <c r="BC103" s="40"/>
      <c r="BD103" s="41"/>
      <c r="BE103" s="42"/>
      <c r="BF103" s="43"/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/>
      <c r="BR103" s="41"/>
      <c r="BS103" s="40"/>
      <c r="BT103" s="41"/>
      <c r="BU103" s="40"/>
      <c r="BV103" s="41"/>
      <c r="BW103" s="40"/>
      <c r="BX103" s="41"/>
      <c r="BY103" s="42"/>
      <c r="BZ103" s="43"/>
      <c r="CA103" s="106"/>
      <c r="CB103" s="102"/>
      <c r="CC103" s="41"/>
      <c r="CD103" s="40"/>
      <c r="CE103" s="41"/>
      <c r="CF103" s="40"/>
      <c r="CG103" s="41"/>
      <c r="CH103" s="40"/>
      <c r="CI103" s="41"/>
      <c r="CJ103" s="42"/>
      <c r="CK103" s="43"/>
      <c r="CL103" s="41"/>
      <c r="CM103" s="40"/>
      <c r="CN103" s="41"/>
      <c r="CO103" s="40"/>
      <c r="CP103" s="41"/>
      <c r="CQ103" s="40"/>
      <c r="CR103" s="41"/>
      <c r="CS103" s="42"/>
      <c r="CT103" s="43"/>
      <c r="CU103" s="41"/>
      <c r="CV103" s="40"/>
      <c r="CW103" s="40"/>
      <c r="CX103" s="40"/>
      <c r="CY103" s="40"/>
      <c r="CZ103" s="40"/>
      <c r="DA103" s="41"/>
      <c r="DB103" s="42"/>
      <c r="DC103" s="43">
        <f t="shared" si="42"/>
        <v>0</v>
      </c>
      <c r="DD103" s="41"/>
      <c r="DE103" s="40"/>
      <c r="DF103" s="41"/>
      <c r="DG103" s="40"/>
      <c r="DH103" s="41"/>
      <c r="DI103" s="40"/>
      <c r="DJ103" s="41"/>
      <c r="DK103" s="42"/>
    </row>
    <row r="104" spans="1:115" s="1" customFormat="1" ht="15" hidden="1" customHeight="1" x14ac:dyDescent="0.3">
      <c r="A104" s="2"/>
      <c r="B104" s="14">
        <v>9742</v>
      </c>
      <c r="C104" s="5" t="s">
        <v>139</v>
      </c>
      <c r="D104" s="15">
        <v>2011</v>
      </c>
      <c r="E104" s="16">
        <f t="shared" si="29"/>
        <v>0</v>
      </c>
      <c r="F104" s="37"/>
      <c r="G104" s="37"/>
      <c r="H104" s="37"/>
      <c r="I104" s="37"/>
      <c r="J104" s="38"/>
      <c r="K104" s="39"/>
      <c r="L104" s="40"/>
      <c r="M104" s="41"/>
      <c r="N104" s="42"/>
      <c r="O104" s="38"/>
      <c r="P104" s="39"/>
      <c r="Q104" s="42"/>
      <c r="R104" s="43"/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/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/>
      <c r="AO104" s="41"/>
      <c r="AP104" s="40"/>
      <c r="AQ104" s="41"/>
      <c r="AR104" s="40"/>
      <c r="AS104" s="41"/>
      <c r="AT104" s="40"/>
      <c r="AU104" s="41"/>
      <c r="AV104" s="42"/>
      <c r="AW104" s="43"/>
      <c r="AX104" s="41"/>
      <c r="AY104" s="40"/>
      <c r="AZ104" s="41"/>
      <c r="BA104" s="40"/>
      <c r="BB104" s="41"/>
      <c r="BC104" s="40"/>
      <c r="BD104" s="41"/>
      <c r="BE104" s="42"/>
      <c r="BF104" s="43"/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/>
      <c r="BR104" s="41"/>
      <c r="BS104" s="40"/>
      <c r="BT104" s="41"/>
      <c r="BU104" s="40"/>
      <c r="BV104" s="41"/>
      <c r="BW104" s="40"/>
      <c r="BX104" s="41"/>
      <c r="BY104" s="42"/>
      <c r="BZ104" s="43"/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/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1"/>
      <c r="CX104" s="40"/>
      <c r="CY104" s="40"/>
      <c r="CZ104" s="40"/>
      <c r="DA104" s="41"/>
      <c r="DB104" s="42"/>
      <c r="DC104" s="43">
        <f t="shared" si="42"/>
        <v>0</v>
      </c>
      <c r="DD104" s="41"/>
      <c r="DE104" s="40"/>
      <c r="DF104" s="41"/>
      <c r="DG104" s="40"/>
      <c r="DH104" s="41"/>
      <c r="DI104" s="40"/>
      <c r="DJ104" s="41"/>
      <c r="DK104" s="42"/>
    </row>
    <row r="105" spans="1:115" s="1" customFormat="1" ht="15" hidden="1" customHeight="1" x14ac:dyDescent="0.3">
      <c r="A105" s="2">
        <f t="shared" ref="A105:A115" si="43">A104+1</f>
        <v>1</v>
      </c>
      <c r="B105" s="14">
        <v>5964</v>
      </c>
      <c r="C105" s="5" t="s">
        <v>37</v>
      </c>
      <c r="D105" s="15">
        <v>2006</v>
      </c>
      <c r="E105" s="16">
        <f t="shared" si="29"/>
        <v>0</v>
      </c>
      <c r="F105" s="37"/>
      <c r="G105" s="37"/>
      <c r="H105" s="37"/>
      <c r="I105" s="37"/>
      <c r="J105" s="38">
        <f>L105+N105</f>
        <v>0</v>
      </c>
      <c r="K105" s="39"/>
      <c r="L105" s="40"/>
      <c r="M105" s="41"/>
      <c r="N105" s="42"/>
      <c r="O105" s="38">
        <f>Q105</f>
        <v>0</v>
      </c>
      <c r="P105" s="39"/>
      <c r="Q105" s="42"/>
      <c r="R105" s="43">
        <f>T105+V105+X105+Z105+AB105</f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>
        <f>AE105+AG105+AI105+AK105+AM105</f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>
        <f>AP105+AR105+AT105+AV105</f>
        <v>0</v>
      </c>
      <c r="AO105" s="41"/>
      <c r="AP105" s="40"/>
      <c r="AQ105" s="41"/>
      <c r="AR105" s="40"/>
      <c r="AS105" s="41"/>
      <c r="AT105" s="40"/>
      <c r="AU105" s="41"/>
      <c r="AV105" s="42"/>
      <c r="AW105" s="43">
        <f>AY105+BA105+BC105+BE105</f>
        <v>0</v>
      </c>
      <c r="AX105" s="41"/>
      <c r="AY105" s="40"/>
      <c r="AZ105" s="41"/>
      <c r="BA105" s="40"/>
      <c r="BB105" s="41"/>
      <c r="BC105" s="40"/>
      <c r="BD105" s="41"/>
      <c r="BE105" s="42"/>
      <c r="BF105" s="43">
        <f>BH105+BJ105+BL105+BN105+BP105</f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>
        <f>BS105+BU105+BW105+BY105</f>
        <v>0</v>
      </c>
      <c r="BR105" s="41"/>
      <c r="BS105" s="40"/>
      <c r="BT105" s="41"/>
      <c r="BU105" s="40"/>
      <c r="BV105" s="41"/>
      <c r="BW105" s="40"/>
      <c r="BX105" s="41"/>
      <c r="BY105" s="42"/>
      <c r="BZ105" s="43">
        <f>CB105+CD105+CF105+CH105+CJ105</f>
        <v>0</v>
      </c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>
        <f>CM105+CO105+CQ105+CS105</f>
        <v>0</v>
      </c>
      <c r="CL105" s="41"/>
      <c r="CM105" s="40"/>
      <c r="CN105" s="41"/>
      <c r="CO105" s="40"/>
      <c r="CP105" s="41"/>
      <c r="CQ105" s="40"/>
      <c r="CR105" s="41"/>
      <c r="CS105" s="42"/>
      <c r="CT105" s="43">
        <f>CV105+CX105+CZ105+DB105</f>
        <v>0</v>
      </c>
      <c r="CU105" s="41"/>
      <c r="CV105" s="40"/>
      <c r="CW105" s="40"/>
      <c r="CX105" s="40"/>
      <c r="CY105" s="40"/>
      <c r="CZ105" s="40"/>
      <c r="DA105" s="41"/>
      <c r="DB105" s="42"/>
      <c r="DC105" s="43">
        <f t="shared" si="42"/>
        <v>0</v>
      </c>
      <c r="DD105" s="41"/>
      <c r="DE105" s="40"/>
      <c r="DF105" s="40"/>
      <c r="DG105" s="40"/>
      <c r="DH105" s="40"/>
      <c r="DI105" s="40"/>
      <c r="DJ105" s="41"/>
      <c r="DK105" s="42"/>
    </row>
    <row r="106" spans="1:115" s="1" customFormat="1" ht="15" hidden="1" customHeight="1" x14ac:dyDescent="0.3">
      <c r="A106" s="2">
        <f t="shared" si="43"/>
        <v>2</v>
      </c>
      <c r="B106" s="14">
        <v>6656</v>
      </c>
      <c r="C106" s="5" t="s">
        <v>126</v>
      </c>
      <c r="D106" s="15">
        <v>2008</v>
      </c>
      <c r="E106" s="16">
        <f t="shared" si="29"/>
        <v>0</v>
      </c>
      <c r="F106" s="37"/>
      <c r="G106" s="37"/>
      <c r="H106" s="37"/>
      <c r="I106" s="37"/>
      <c r="J106" s="38">
        <f>L106+N106</f>
        <v>0</v>
      </c>
      <c r="K106" s="39"/>
      <c r="L106" s="40"/>
      <c r="M106" s="41"/>
      <c r="N106" s="42"/>
      <c r="O106" s="38">
        <f>Q106</f>
        <v>0</v>
      </c>
      <c r="P106" s="39"/>
      <c r="Q106" s="42"/>
      <c r="R106" s="43">
        <f>T106+V106+X106+Z106+AB106</f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>AE106+AG106+AI106+AK106+AM106</f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>
        <f>AP106+AR106+AT106+AV106</f>
        <v>0</v>
      </c>
      <c r="AO106" s="41"/>
      <c r="AP106" s="40"/>
      <c r="AQ106" s="41"/>
      <c r="AR106" s="40"/>
      <c r="AS106" s="41"/>
      <c r="AT106" s="40"/>
      <c r="AU106" s="41"/>
      <c r="AV106" s="42"/>
      <c r="AW106" s="43">
        <f>AY106+BA106+BC106+BE106</f>
        <v>0</v>
      </c>
      <c r="AX106" s="41"/>
      <c r="AY106" s="40"/>
      <c r="AZ106" s="41"/>
      <c r="BA106" s="40"/>
      <c r="BB106" s="41"/>
      <c r="BC106" s="40"/>
      <c r="BD106" s="41"/>
      <c r="BE106" s="42"/>
      <c r="BF106" s="43">
        <f>BH106+BJ106+BL106+BN106+BP106</f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>
        <f>BS106+BU106+BW106+BY106</f>
        <v>0</v>
      </c>
      <c r="BR106" s="41"/>
      <c r="BS106" s="40"/>
      <c r="BT106" s="41"/>
      <c r="BU106" s="40"/>
      <c r="BV106" s="41"/>
      <c r="BW106" s="40"/>
      <c r="BX106" s="41"/>
      <c r="BY106" s="42"/>
      <c r="BZ106" s="43">
        <f>CB106+CD106+CF106+CH106+CJ106</f>
        <v>0</v>
      </c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>
        <f>CM106+CO106+CQ106+CS106</f>
        <v>0</v>
      </c>
      <c r="CL106" s="41"/>
      <c r="CM106" s="40"/>
      <c r="CN106" s="41"/>
      <c r="CO106" s="40"/>
      <c r="CP106" s="41"/>
      <c r="CQ106" s="40"/>
      <c r="CR106" s="41"/>
      <c r="CS106" s="42"/>
      <c r="CT106" s="43">
        <f>CV106+CX106+CZ106+DB106</f>
        <v>0</v>
      </c>
      <c r="CU106" s="41"/>
      <c r="CV106" s="40"/>
      <c r="CW106" s="40"/>
      <c r="CX106" s="40"/>
      <c r="CY106" s="40"/>
      <c r="CZ106" s="40"/>
      <c r="DA106" s="41"/>
      <c r="DB106" s="42"/>
      <c r="DC106" s="43">
        <f t="shared" si="42"/>
        <v>0</v>
      </c>
      <c r="DD106" s="41"/>
      <c r="DE106" s="40"/>
      <c r="DF106" s="40"/>
      <c r="DG106" s="40"/>
      <c r="DH106" s="40"/>
      <c r="DI106" s="40"/>
      <c r="DJ106" s="41"/>
      <c r="DK106" s="42"/>
    </row>
    <row r="107" spans="1:115" s="1" customFormat="1" ht="15" hidden="1" customHeight="1" x14ac:dyDescent="0.3">
      <c r="A107" s="2">
        <f t="shared" si="43"/>
        <v>3</v>
      </c>
      <c r="B107" s="14">
        <v>6654</v>
      </c>
      <c r="C107" s="5" t="s">
        <v>125</v>
      </c>
      <c r="D107" s="15">
        <v>2008</v>
      </c>
      <c r="E107" s="16">
        <f t="shared" si="29"/>
        <v>0</v>
      </c>
      <c r="F107" s="37"/>
      <c r="G107" s="37"/>
      <c r="H107" s="37"/>
      <c r="I107" s="37"/>
      <c r="J107" s="38">
        <f>L107+N107</f>
        <v>0</v>
      </c>
      <c r="K107" s="39"/>
      <c r="L107" s="40"/>
      <c r="M107" s="41"/>
      <c r="N107" s="42"/>
      <c r="O107" s="38">
        <f>Q107</f>
        <v>0</v>
      </c>
      <c r="P107" s="39"/>
      <c r="Q107" s="42"/>
      <c r="R107" s="43">
        <f>T107+V107+X107+Z107+AB107</f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>AE107+AG107+AI107+AK107+AM107</f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>AP107+AR107+AT107+AV107</f>
        <v>0</v>
      </c>
      <c r="AO107" s="41"/>
      <c r="AP107" s="40"/>
      <c r="AQ107" s="41"/>
      <c r="AR107" s="40"/>
      <c r="AS107" s="41"/>
      <c r="AT107" s="40"/>
      <c r="AU107" s="41"/>
      <c r="AV107" s="42"/>
      <c r="AW107" s="43">
        <f>AY107+BA107+BC107+BE107</f>
        <v>0</v>
      </c>
      <c r="AX107" s="41"/>
      <c r="AY107" s="40"/>
      <c r="AZ107" s="41"/>
      <c r="BA107" s="40"/>
      <c r="BB107" s="41"/>
      <c r="BC107" s="40"/>
      <c r="BD107" s="41"/>
      <c r="BE107" s="42"/>
      <c r="BF107" s="43">
        <f>BH107+BJ107+BL107+BN107+BP107</f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>BS107+BU107+BW107+BY107</f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>CB107+CD107+CF107+CH107+CJ107</f>
        <v>0</v>
      </c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>
        <f>CM107+CO107+CQ107+CS107</f>
        <v>0</v>
      </c>
      <c r="CL107" s="41"/>
      <c r="CM107" s="40"/>
      <c r="CN107" s="41"/>
      <c r="CO107" s="40"/>
      <c r="CP107" s="41"/>
      <c r="CQ107" s="40"/>
      <c r="CR107" s="41"/>
      <c r="CS107" s="42"/>
      <c r="CT107" s="43">
        <f>CV107+CX107+CZ107+DB107</f>
        <v>0</v>
      </c>
      <c r="CU107" s="41"/>
      <c r="CV107" s="40"/>
      <c r="CW107" s="40"/>
      <c r="CX107" s="40"/>
      <c r="CY107" s="40"/>
      <c r="CZ107" s="40"/>
      <c r="DA107" s="41"/>
      <c r="DB107" s="42"/>
      <c r="DC107" s="43">
        <f t="shared" si="42"/>
        <v>0</v>
      </c>
      <c r="DD107" s="41"/>
      <c r="DE107" s="40"/>
      <c r="DF107" s="40"/>
      <c r="DG107" s="40"/>
      <c r="DH107" s="40"/>
      <c r="DI107" s="40"/>
      <c r="DJ107" s="41"/>
      <c r="DK107" s="42"/>
    </row>
    <row r="108" spans="1:115" s="1" customFormat="1" ht="15" hidden="1" customHeight="1" x14ac:dyDescent="0.3">
      <c r="A108" s="2">
        <f t="shared" si="43"/>
        <v>4</v>
      </c>
      <c r="B108" s="14">
        <v>39</v>
      </c>
      <c r="C108" s="5" t="s">
        <v>40</v>
      </c>
      <c r="D108" s="15">
        <v>1988</v>
      </c>
      <c r="E108" s="16">
        <f t="shared" si="29"/>
        <v>0</v>
      </c>
      <c r="F108" s="37"/>
      <c r="G108" s="37"/>
      <c r="H108" s="37"/>
      <c r="I108" s="37"/>
      <c r="J108" s="38">
        <f>L108+N108</f>
        <v>0</v>
      </c>
      <c r="K108" s="39"/>
      <c r="L108" s="40"/>
      <c r="M108" s="41"/>
      <c r="N108" s="42"/>
      <c r="O108" s="38">
        <f>Q108</f>
        <v>0</v>
      </c>
      <c r="P108" s="39"/>
      <c r="Q108" s="42"/>
      <c r="R108" s="43">
        <f>T108+V108+X108+Z108+AB108</f>
        <v>0</v>
      </c>
      <c r="S108" s="44"/>
      <c r="T108" s="45"/>
      <c r="U108" s="44"/>
      <c r="V108" s="45"/>
      <c r="W108" s="44"/>
      <c r="X108" s="45"/>
      <c r="Y108" s="44"/>
      <c r="Z108" s="45"/>
      <c r="AA108" s="44"/>
      <c r="AB108" s="78"/>
      <c r="AC108" s="82">
        <f>AE108+AG108+AI108+AK108+AM108</f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>AP108+AR108+AT108+AV108</f>
        <v>0</v>
      </c>
      <c r="AO108" s="41"/>
      <c r="AP108" s="40"/>
      <c r="AQ108" s="41"/>
      <c r="AR108" s="40"/>
      <c r="AS108" s="41"/>
      <c r="AT108" s="40"/>
      <c r="AU108" s="41"/>
      <c r="AV108" s="42"/>
      <c r="AW108" s="43">
        <f>AY108+BA108+BC108+BE108</f>
        <v>0</v>
      </c>
      <c r="AX108" s="41"/>
      <c r="AY108" s="40"/>
      <c r="AZ108" s="41"/>
      <c r="BA108" s="40"/>
      <c r="BB108" s="41"/>
      <c r="BC108" s="40"/>
      <c r="BD108" s="41"/>
      <c r="BE108" s="42"/>
      <c r="BF108" s="43">
        <f>BH108+BJ108+BL108+BN108+BP108</f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>BS108+BU108+BW108+BY108</f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>CB108+CD108+CF108+CH108+CJ108</f>
        <v>0</v>
      </c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>
        <f>CM108+CO108+CQ108+CS108</f>
        <v>0</v>
      </c>
      <c r="CL108" s="41"/>
      <c r="CM108" s="40"/>
      <c r="CN108" s="41"/>
      <c r="CO108" s="40"/>
      <c r="CP108" s="41"/>
      <c r="CQ108" s="40"/>
      <c r="CR108" s="41"/>
      <c r="CS108" s="42"/>
      <c r="CT108" s="43">
        <f>CV108+CX108+CZ108+DB108</f>
        <v>0</v>
      </c>
      <c r="CU108" s="41"/>
      <c r="CV108" s="40"/>
      <c r="CW108" s="40"/>
      <c r="CX108" s="40"/>
      <c r="CY108" s="40"/>
      <c r="CZ108" s="40"/>
      <c r="DA108" s="41"/>
      <c r="DB108" s="42"/>
      <c r="DC108" s="43">
        <f t="shared" si="42"/>
        <v>0</v>
      </c>
      <c r="DD108" s="41"/>
      <c r="DE108" s="40"/>
      <c r="DF108" s="40"/>
      <c r="DG108" s="40"/>
      <c r="DH108" s="40"/>
      <c r="DI108" s="40"/>
      <c r="DJ108" s="41"/>
      <c r="DK108" s="42"/>
    </row>
    <row r="109" spans="1:115" s="1" customFormat="1" ht="15" hidden="1" customHeight="1" x14ac:dyDescent="0.3">
      <c r="A109" s="2">
        <f t="shared" si="43"/>
        <v>5</v>
      </c>
      <c r="B109" s="14">
        <v>5610</v>
      </c>
      <c r="C109" s="5" t="s">
        <v>30</v>
      </c>
      <c r="D109" s="15">
        <v>2005</v>
      </c>
      <c r="E109" s="16">
        <f t="shared" si="29"/>
        <v>0</v>
      </c>
      <c r="F109" s="37"/>
      <c r="G109" s="37"/>
      <c r="H109" s="37"/>
      <c r="I109" s="37"/>
      <c r="J109" s="38">
        <f>L109+N109</f>
        <v>0</v>
      </c>
      <c r="K109" s="39"/>
      <c r="L109" s="40"/>
      <c r="M109" s="41"/>
      <c r="N109" s="42"/>
      <c r="O109" s="38">
        <f>Q109</f>
        <v>0</v>
      </c>
      <c r="P109" s="39"/>
      <c r="Q109" s="42"/>
      <c r="R109" s="43">
        <f>T109+V109+X109+Z109+AB109</f>
        <v>0</v>
      </c>
      <c r="S109" s="96"/>
      <c r="T109" s="45"/>
      <c r="U109" s="44"/>
      <c r="V109" s="45"/>
      <c r="W109" s="44"/>
      <c r="X109" s="45"/>
      <c r="Y109" s="96"/>
      <c r="Z109" s="45"/>
      <c r="AA109" s="44"/>
      <c r="AB109" s="78"/>
      <c r="AC109" s="82">
        <f>AE109+AG109+AI109+AK109+AM109</f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>AP109+AR109+AT109+AV109</f>
        <v>0</v>
      </c>
      <c r="AO109" s="41"/>
      <c r="AP109" s="40"/>
      <c r="AQ109" s="41"/>
      <c r="AR109" s="40"/>
      <c r="AS109" s="41"/>
      <c r="AT109" s="40"/>
      <c r="AU109" s="41"/>
      <c r="AV109" s="42"/>
      <c r="AW109" s="43">
        <f>AY109+BA109+BC109+BE109</f>
        <v>0</v>
      </c>
      <c r="AX109" s="41"/>
      <c r="AY109" s="40"/>
      <c r="AZ109" s="41"/>
      <c r="BA109" s="40"/>
      <c r="BB109" s="41"/>
      <c r="BC109" s="40"/>
      <c r="BD109" s="41"/>
      <c r="BE109" s="42"/>
      <c r="BF109" s="43">
        <f>BH109+BJ109+BL109+BN109+BP109</f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>BS109+BU109+BW109+BY109</f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>CB109+CD109+CF109+CH109+CJ109</f>
        <v>0</v>
      </c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>
        <f>CM109+CO109+CQ109+CS109</f>
        <v>0</v>
      </c>
      <c r="CL109" s="41"/>
      <c r="CM109" s="40"/>
      <c r="CN109" s="41"/>
      <c r="CO109" s="40"/>
      <c r="CP109" s="41"/>
      <c r="CQ109" s="40"/>
      <c r="CR109" s="41"/>
      <c r="CS109" s="42"/>
      <c r="CT109" s="43">
        <f>CV109+CX109+CZ109+DB109</f>
        <v>0</v>
      </c>
      <c r="CU109" s="41"/>
      <c r="CV109" s="40"/>
      <c r="CW109" s="40"/>
      <c r="CX109" s="40"/>
      <c r="CY109" s="40"/>
      <c r="CZ109" s="40"/>
      <c r="DA109" s="41"/>
      <c r="DB109" s="42"/>
      <c r="DC109" s="43">
        <f t="shared" si="42"/>
        <v>0</v>
      </c>
      <c r="DD109" s="41"/>
      <c r="DE109" s="40"/>
      <c r="DF109" s="40"/>
      <c r="DG109" s="40"/>
      <c r="DH109" s="40"/>
      <c r="DI109" s="40"/>
      <c r="DJ109" s="41"/>
      <c r="DK109" s="42"/>
    </row>
    <row r="110" spans="1:115" s="1" customFormat="1" ht="15" customHeight="1" x14ac:dyDescent="0.3">
      <c r="A110" s="126"/>
      <c r="B110" s="127">
        <v>1302</v>
      </c>
      <c r="C110" s="128" t="s">
        <v>296</v>
      </c>
      <c r="D110" s="129">
        <v>2010</v>
      </c>
      <c r="E110" s="130">
        <f t="shared" si="29"/>
        <v>0</v>
      </c>
      <c r="F110" s="131" t="s">
        <v>155</v>
      </c>
      <c r="G110" s="37"/>
      <c r="H110" s="37" t="s">
        <v>161</v>
      </c>
      <c r="I110" s="37"/>
      <c r="J110" s="38"/>
      <c r="K110" s="39"/>
      <c r="L110" s="40"/>
      <c r="M110" s="41"/>
      <c r="N110" s="42"/>
      <c r="O110" s="38"/>
      <c r="P110" s="39"/>
      <c r="Q110" s="42"/>
      <c r="R110" s="43"/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/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/>
      <c r="AO110" s="41"/>
      <c r="AP110" s="40"/>
      <c r="AQ110" s="41"/>
      <c r="AR110" s="40"/>
      <c r="AS110" s="41"/>
      <c r="AT110" s="40"/>
      <c r="AU110" s="41"/>
      <c r="AV110" s="42"/>
      <c r="AW110" s="43"/>
      <c r="AX110" s="41"/>
      <c r="AY110" s="40"/>
      <c r="AZ110" s="41"/>
      <c r="BA110" s="40"/>
      <c r="BB110" s="41"/>
      <c r="BC110" s="40"/>
      <c r="BD110" s="41"/>
      <c r="BE110" s="42"/>
      <c r="BF110" s="43"/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/>
      <c r="BR110" s="41"/>
      <c r="BS110" s="40"/>
      <c r="BT110" s="41"/>
      <c r="BU110" s="40"/>
      <c r="BV110" s="41"/>
      <c r="BW110" s="40"/>
      <c r="BX110" s="41"/>
      <c r="BY110" s="42"/>
      <c r="BZ110" s="43"/>
      <c r="CA110" s="106"/>
      <c r="CB110" s="102"/>
      <c r="CC110" s="41"/>
      <c r="CD110" s="40"/>
      <c r="CE110" s="41"/>
      <c r="CF110" s="40"/>
      <c r="CG110" s="41"/>
      <c r="CH110" s="40"/>
      <c r="CI110" s="41"/>
      <c r="CJ110" s="42"/>
      <c r="CK110" s="43"/>
      <c r="CL110" s="41"/>
      <c r="CM110" s="40"/>
      <c r="CN110" s="41"/>
      <c r="CO110" s="40"/>
      <c r="CP110" s="41"/>
      <c r="CQ110" s="40"/>
      <c r="CR110" s="41"/>
      <c r="CS110" s="42"/>
      <c r="CT110" s="43"/>
      <c r="CU110" s="41"/>
      <c r="CV110" s="40"/>
      <c r="CW110" s="40"/>
      <c r="CX110" s="40"/>
      <c r="CY110" s="40"/>
      <c r="CZ110" s="40"/>
      <c r="DA110" s="41"/>
      <c r="DB110" s="42"/>
      <c r="DC110" s="132">
        <f>DE110+DG110+DK110</f>
        <v>0</v>
      </c>
      <c r="DD110" s="41"/>
      <c r="DE110" s="40"/>
      <c r="DF110" s="41"/>
      <c r="DG110" s="40"/>
      <c r="DH110" s="35">
        <v>8</v>
      </c>
      <c r="DI110" s="35" t="s">
        <v>110</v>
      </c>
      <c r="DJ110" s="41"/>
      <c r="DK110" s="42"/>
    </row>
    <row r="111" spans="1:115" s="1" customFormat="1" ht="15" hidden="1" customHeight="1" x14ac:dyDescent="0.3">
      <c r="A111" s="2">
        <f t="shared" si="43"/>
        <v>1</v>
      </c>
      <c r="B111" s="14">
        <v>6013</v>
      </c>
      <c r="C111" s="5" t="s">
        <v>116</v>
      </c>
      <c r="D111" s="15">
        <v>2008</v>
      </c>
      <c r="E111" s="16">
        <f t="shared" si="29"/>
        <v>0</v>
      </c>
      <c r="F111" s="37"/>
      <c r="G111" s="37"/>
      <c r="H111" s="37"/>
      <c r="I111" s="37"/>
      <c r="J111" s="38">
        <f>L111+N111</f>
        <v>0</v>
      </c>
      <c r="K111" s="39"/>
      <c r="L111" s="40"/>
      <c r="M111" s="41"/>
      <c r="N111" s="42"/>
      <c r="O111" s="38">
        <f>Q111</f>
        <v>0</v>
      </c>
      <c r="P111" s="39"/>
      <c r="Q111" s="42"/>
      <c r="R111" s="43">
        <f>T111+V111+X111+Z111+AB111</f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>
        <f>AE111+AG111+AI111+AK111+AM111</f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>
        <f>AP111+AR111+AT111+AV111</f>
        <v>0</v>
      </c>
      <c r="AO111" s="41"/>
      <c r="AP111" s="40"/>
      <c r="AQ111" s="41"/>
      <c r="AR111" s="40"/>
      <c r="AS111" s="41"/>
      <c r="AT111" s="40"/>
      <c r="AU111" s="41"/>
      <c r="AV111" s="42"/>
      <c r="AW111" s="43">
        <f>AY111+BA111+BC111+BE111</f>
        <v>0</v>
      </c>
      <c r="AX111" s="41"/>
      <c r="AY111" s="40"/>
      <c r="AZ111" s="41"/>
      <c r="BA111" s="40"/>
      <c r="BB111" s="41"/>
      <c r="BC111" s="40"/>
      <c r="BD111" s="41"/>
      <c r="BE111" s="42"/>
      <c r="BF111" s="43">
        <f>BH111+BJ111+BL111+BN111+BP111</f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>
        <f>BS111+BU111+BW111+BY111</f>
        <v>0</v>
      </c>
      <c r="BR111" s="41"/>
      <c r="BS111" s="40"/>
      <c r="BT111" s="41"/>
      <c r="BU111" s="40"/>
      <c r="BV111" s="41"/>
      <c r="BW111" s="40"/>
      <c r="BX111" s="41"/>
      <c r="BY111" s="42"/>
      <c r="BZ111" s="43">
        <f>CB111+CD111+CF111+CH111+CJ111</f>
        <v>0</v>
      </c>
      <c r="CA111" s="106"/>
      <c r="CB111" s="102"/>
      <c r="CC111" s="41"/>
      <c r="CD111" s="40"/>
      <c r="CE111" s="41"/>
      <c r="CF111" s="40"/>
      <c r="CG111" s="41"/>
      <c r="CH111" s="40"/>
      <c r="CI111" s="41"/>
      <c r="CJ111" s="42"/>
      <c r="CK111" s="43">
        <f>CM111+CO111+CQ111+CS111</f>
        <v>0</v>
      </c>
      <c r="CL111" s="41"/>
      <c r="CM111" s="40"/>
      <c r="CN111" s="41"/>
      <c r="CO111" s="40"/>
      <c r="CP111" s="41"/>
      <c r="CQ111" s="40"/>
      <c r="CR111" s="41"/>
      <c r="CS111" s="42"/>
      <c r="CT111" s="43">
        <f>CV111+CX111+CZ111+DB111</f>
        <v>0</v>
      </c>
      <c r="CU111" s="41"/>
      <c r="CV111" s="40"/>
      <c r="CW111" s="40"/>
      <c r="CX111" s="40"/>
      <c r="CY111" s="40"/>
      <c r="CZ111" s="40"/>
      <c r="DA111" s="41"/>
      <c r="DB111" s="42"/>
      <c r="DC111" s="43">
        <f t="shared" ref="DC111:DC127" si="44">DE111+DG111+DI111+DK111</f>
        <v>0</v>
      </c>
      <c r="DD111" s="41"/>
      <c r="DE111" s="40"/>
      <c r="DF111" s="40"/>
      <c r="DG111" s="40"/>
      <c r="DH111" s="40"/>
      <c r="DI111" s="40"/>
      <c r="DJ111" s="41"/>
      <c r="DK111" s="42"/>
    </row>
    <row r="112" spans="1:115" s="1" customFormat="1" ht="15" hidden="1" customHeight="1" x14ac:dyDescent="0.3">
      <c r="A112" s="2">
        <f t="shared" si="43"/>
        <v>2</v>
      </c>
      <c r="B112" s="14">
        <v>3993</v>
      </c>
      <c r="C112" s="5" t="s">
        <v>34</v>
      </c>
      <c r="D112" s="15">
        <v>2003</v>
      </c>
      <c r="E112" s="16">
        <f t="shared" si="29"/>
        <v>0</v>
      </c>
      <c r="F112" s="37"/>
      <c r="G112" s="37"/>
      <c r="H112" s="37"/>
      <c r="I112" s="37"/>
      <c r="J112" s="38">
        <f>L112+N112</f>
        <v>0</v>
      </c>
      <c r="K112" s="39"/>
      <c r="L112" s="40"/>
      <c r="M112" s="41"/>
      <c r="N112" s="42"/>
      <c r="O112" s="38">
        <f>Q112</f>
        <v>0</v>
      </c>
      <c r="P112" s="39"/>
      <c r="Q112" s="42"/>
      <c r="R112" s="43">
        <f>T112+V112+X112+Z112+AB112</f>
        <v>0</v>
      </c>
      <c r="S112" s="44"/>
      <c r="T112" s="45"/>
      <c r="U112" s="44"/>
      <c r="V112" s="45"/>
      <c r="W112" s="44"/>
      <c r="X112" s="45"/>
      <c r="Y112" s="44"/>
      <c r="Z112" s="45"/>
      <c r="AA112" s="44"/>
      <c r="AB112" s="78"/>
      <c r="AC112" s="82">
        <f>AE112+AG112+AI112+AK112+AM112</f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>
        <f>AP112+AR112+AT112+AV112</f>
        <v>0</v>
      </c>
      <c r="AO112" s="41"/>
      <c r="AP112" s="40"/>
      <c r="AQ112" s="41"/>
      <c r="AR112" s="40"/>
      <c r="AS112" s="41"/>
      <c r="AT112" s="40"/>
      <c r="AU112" s="41"/>
      <c r="AV112" s="42"/>
      <c r="AW112" s="43">
        <f>AY112+BA112+BC112+BE112</f>
        <v>0</v>
      </c>
      <c r="AX112" s="41"/>
      <c r="AY112" s="40"/>
      <c r="AZ112" s="41"/>
      <c r="BA112" s="40"/>
      <c r="BB112" s="41"/>
      <c r="BC112" s="40"/>
      <c r="BD112" s="41"/>
      <c r="BE112" s="42"/>
      <c r="BF112" s="43">
        <f>BH112+BJ112+BL112+BN112+BP112</f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>
        <f>BS112+BU112+BW112+BY112</f>
        <v>0</v>
      </c>
      <c r="BR112" s="41"/>
      <c r="BS112" s="40"/>
      <c r="BT112" s="41"/>
      <c r="BU112" s="40"/>
      <c r="BV112" s="41"/>
      <c r="BW112" s="40"/>
      <c r="BX112" s="41"/>
      <c r="BY112" s="42"/>
      <c r="BZ112" s="43">
        <f>CB112+CD112+CF112+CH112+CJ112</f>
        <v>0</v>
      </c>
      <c r="CA112" s="106"/>
      <c r="CB112" s="102"/>
      <c r="CC112" s="41"/>
      <c r="CD112" s="40"/>
      <c r="CE112" s="41"/>
      <c r="CF112" s="40"/>
      <c r="CG112" s="41"/>
      <c r="CH112" s="40"/>
      <c r="CI112" s="41"/>
      <c r="CJ112" s="42"/>
      <c r="CK112" s="43">
        <f>CM112+CO112+CQ112+CS112</f>
        <v>0</v>
      </c>
      <c r="CL112" s="41"/>
      <c r="CM112" s="40"/>
      <c r="CN112" s="41"/>
      <c r="CO112" s="40"/>
      <c r="CP112" s="41"/>
      <c r="CQ112" s="40"/>
      <c r="CR112" s="41"/>
      <c r="CS112" s="42"/>
      <c r="CT112" s="43">
        <f>CV112+CX112+CZ112+DB112</f>
        <v>0</v>
      </c>
      <c r="CU112" s="41"/>
      <c r="CV112" s="40"/>
      <c r="CW112" s="40"/>
      <c r="CX112" s="40"/>
      <c r="CY112" s="40"/>
      <c r="CZ112" s="40"/>
      <c r="DA112" s="41"/>
      <c r="DB112" s="42"/>
      <c r="DC112" s="43">
        <f t="shared" si="44"/>
        <v>0</v>
      </c>
      <c r="DD112" s="41"/>
      <c r="DE112" s="40"/>
      <c r="DF112" s="40"/>
      <c r="DG112" s="40"/>
      <c r="DH112" s="40"/>
      <c r="DI112" s="40"/>
      <c r="DJ112" s="41"/>
      <c r="DK112" s="42"/>
    </row>
    <row r="113" spans="1:115" s="1" customFormat="1" ht="15" hidden="1" customHeight="1" x14ac:dyDescent="0.3">
      <c r="A113" s="2"/>
      <c r="B113" s="14">
        <v>9538</v>
      </c>
      <c r="C113" s="5" t="s">
        <v>274</v>
      </c>
      <c r="D113" s="15">
        <v>2011</v>
      </c>
      <c r="E113" s="16">
        <f t="shared" ref="E113:E144" si="45">J113+O113+R113+AC113+AN113+AW113+BF113+BQ113+BZ113+CK113+CT113+DC113</f>
        <v>0</v>
      </c>
      <c r="F113" s="37" t="s">
        <v>151</v>
      </c>
      <c r="G113" s="37"/>
      <c r="H113" s="37" t="s">
        <v>193</v>
      </c>
      <c r="I113" s="37"/>
      <c r="J113" s="38"/>
      <c r="K113" s="39"/>
      <c r="L113" s="40"/>
      <c r="M113" s="41"/>
      <c r="N113" s="42"/>
      <c r="O113" s="38"/>
      <c r="P113" s="39"/>
      <c r="Q113" s="42"/>
      <c r="R113" s="43"/>
      <c r="S113" s="44"/>
      <c r="T113" s="45"/>
      <c r="U113" s="44"/>
      <c r="V113" s="45"/>
      <c r="W113" s="44"/>
      <c r="X113" s="45"/>
      <c r="Y113" s="44"/>
      <c r="Z113" s="45"/>
      <c r="AA113" s="44"/>
      <c r="AB113" s="78"/>
      <c r="AC113" s="82"/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/>
      <c r="AO113" s="41"/>
      <c r="AP113" s="40"/>
      <c r="AQ113" s="41"/>
      <c r="AR113" s="40"/>
      <c r="AS113" s="41"/>
      <c r="AT113" s="40"/>
      <c r="AU113" s="41"/>
      <c r="AV113" s="42"/>
      <c r="AW113" s="43"/>
      <c r="AX113" s="41"/>
      <c r="AY113" s="40"/>
      <c r="AZ113" s="41"/>
      <c r="BA113" s="40"/>
      <c r="BB113" s="41"/>
      <c r="BC113" s="40"/>
      <c r="BD113" s="41"/>
      <c r="BE113" s="42"/>
      <c r="BF113" s="43"/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/>
      <c r="BR113" s="41"/>
      <c r="BS113" s="40"/>
      <c r="BT113" s="41"/>
      <c r="BU113" s="40"/>
      <c r="BV113" s="41"/>
      <c r="BW113" s="40"/>
      <c r="BX113" s="41"/>
      <c r="BY113" s="42"/>
      <c r="BZ113" s="43"/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/>
      <c r="CL113" s="41"/>
      <c r="CM113" s="40"/>
      <c r="CN113" s="41"/>
      <c r="CO113" s="40"/>
      <c r="CP113" s="41"/>
      <c r="CQ113" s="40"/>
      <c r="CR113" s="41"/>
      <c r="CS113" s="42"/>
      <c r="CT113" s="43"/>
      <c r="CU113" s="41"/>
      <c r="CV113" s="40"/>
      <c r="CW113" s="41"/>
      <c r="CX113" s="40"/>
      <c r="CY113" s="40"/>
      <c r="CZ113" s="40"/>
      <c r="DA113" s="35"/>
      <c r="DB113" s="89"/>
      <c r="DC113" s="43">
        <f t="shared" si="44"/>
        <v>0</v>
      </c>
      <c r="DD113" s="41"/>
      <c r="DE113" s="40"/>
      <c r="DF113" s="41"/>
      <c r="DG113" s="40"/>
      <c r="DH113" s="41"/>
      <c r="DI113" s="40"/>
      <c r="DJ113" s="41"/>
      <c r="DK113" s="53"/>
    </row>
    <row r="114" spans="1:115" s="1" customFormat="1" ht="15" hidden="1" customHeight="1" x14ac:dyDescent="0.3">
      <c r="A114" s="2">
        <f t="shared" si="43"/>
        <v>1</v>
      </c>
      <c r="B114" s="14">
        <v>279</v>
      </c>
      <c r="C114" s="5" t="s">
        <v>54</v>
      </c>
      <c r="D114" s="15">
        <v>1997</v>
      </c>
      <c r="E114" s="16">
        <f t="shared" si="45"/>
        <v>0</v>
      </c>
      <c r="F114" s="37"/>
      <c r="G114" s="37"/>
      <c r="H114" s="37"/>
      <c r="I114" s="37"/>
      <c r="J114" s="38">
        <f>L114+N114</f>
        <v>0</v>
      </c>
      <c r="K114" s="39"/>
      <c r="L114" s="40"/>
      <c r="M114" s="41"/>
      <c r="N114" s="42"/>
      <c r="O114" s="38">
        <f>Q114</f>
        <v>0</v>
      </c>
      <c r="P114" s="39"/>
      <c r="Q114" s="42"/>
      <c r="R114" s="43">
        <f>T114+V114+X114+Z114+AB114</f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>AE114+AG114+AI114+AK114+AM114</f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>AP114+AR114+AT114+AV114</f>
        <v>0</v>
      </c>
      <c r="AO114" s="41"/>
      <c r="AP114" s="40"/>
      <c r="AQ114" s="41"/>
      <c r="AR114" s="40"/>
      <c r="AS114" s="41"/>
      <c r="AT114" s="40"/>
      <c r="AU114" s="41"/>
      <c r="AV114" s="42"/>
      <c r="AW114" s="43">
        <f>AY114+BA114+BC114+BE114</f>
        <v>0</v>
      </c>
      <c r="AX114" s="41"/>
      <c r="AY114" s="40"/>
      <c r="AZ114" s="41"/>
      <c r="BA114" s="40"/>
      <c r="BB114" s="41"/>
      <c r="BC114" s="40"/>
      <c r="BD114" s="41"/>
      <c r="BE114" s="42"/>
      <c r="BF114" s="43">
        <f>BH114+BJ114+BL114+BN114+BP114</f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>BS114+BU114+BW114+BY114</f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>CB114+CD114+CF114+CH114+CJ114</f>
        <v>0</v>
      </c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>
        <f>CM114+CO114+CQ114+CS114</f>
        <v>0</v>
      </c>
      <c r="CL114" s="41"/>
      <c r="CM114" s="40"/>
      <c r="CN114" s="41"/>
      <c r="CO114" s="40"/>
      <c r="CP114" s="41"/>
      <c r="CQ114" s="40"/>
      <c r="CR114" s="41"/>
      <c r="CS114" s="42"/>
      <c r="CT114" s="43">
        <f>CV114+CX114+CZ114+DB114</f>
        <v>0</v>
      </c>
      <c r="CU114" s="41"/>
      <c r="CV114" s="40"/>
      <c r="CW114" s="40"/>
      <c r="CX114" s="40"/>
      <c r="CY114" s="40"/>
      <c r="CZ114" s="40"/>
      <c r="DA114" s="41"/>
      <c r="DB114" s="42"/>
      <c r="DC114" s="43">
        <f t="shared" si="44"/>
        <v>0</v>
      </c>
      <c r="DD114" s="41"/>
      <c r="DE114" s="40"/>
      <c r="DF114" s="40"/>
      <c r="DG114" s="40"/>
      <c r="DH114" s="40"/>
      <c r="DI114" s="40"/>
      <c r="DJ114" s="41"/>
      <c r="DK114" s="42"/>
    </row>
    <row r="115" spans="1:115" s="1" customFormat="1" ht="15" hidden="1" customHeight="1" x14ac:dyDescent="0.3">
      <c r="A115" s="2">
        <f t="shared" si="43"/>
        <v>2</v>
      </c>
      <c r="B115" s="14">
        <v>4347</v>
      </c>
      <c r="C115" s="5" t="s">
        <v>113</v>
      </c>
      <c r="D115" s="15">
        <v>2004</v>
      </c>
      <c r="E115" s="16">
        <f t="shared" si="45"/>
        <v>0</v>
      </c>
      <c r="F115" s="37"/>
      <c r="G115" s="37"/>
      <c r="H115" s="37"/>
      <c r="I115" s="37"/>
      <c r="J115" s="38">
        <f>L115+N115</f>
        <v>0</v>
      </c>
      <c r="K115" s="39"/>
      <c r="L115" s="40"/>
      <c r="M115" s="41"/>
      <c r="N115" s="42"/>
      <c r="O115" s="38">
        <f>Q115</f>
        <v>0</v>
      </c>
      <c r="P115" s="39"/>
      <c r="Q115" s="42"/>
      <c r="R115" s="43">
        <f>T115+V115+X115+Z115+AB115</f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>AE115+AG115+AI115+AK115+AM115</f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>AP115+AR115+AT115+AV115</f>
        <v>0</v>
      </c>
      <c r="AO115" s="41"/>
      <c r="AP115" s="40"/>
      <c r="AQ115" s="41"/>
      <c r="AR115" s="40"/>
      <c r="AS115" s="41"/>
      <c r="AT115" s="40"/>
      <c r="AU115" s="41"/>
      <c r="AV115" s="42"/>
      <c r="AW115" s="43">
        <f>AY115+BA115+BC115+BE115</f>
        <v>0</v>
      </c>
      <c r="AX115" s="41"/>
      <c r="AY115" s="40"/>
      <c r="AZ115" s="41"/>
      <c r="BA115" s="40"/>
      <c r="BB115" s="41"/>
      <c r="BC115" s="40"/>
      <c r="BD115" s="41"/>
      <c r="BE115" s="42"/>
      <c r="BF115" s="43">
        <f>BH115+BJ115+BL115+BN115+BP115</f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>BS115+BU115+BW115+BY115</f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>CB115+CD115+CF115+CH115+CJ115</f>
        <v>0</v>
      </c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>
        <f>CM115+CO115+CQ115+CS115</f>
        <v>0</v>
      </c>
      <c r="CL115" s="41"/>
      <c r="CM115" s="40"/>
      <c r="CN115" s="41"/>
      <c r="CO115" s="40"/>
      <c r="CP115" s="41"/>
      <c r="CQ115" s="40"/>
      <c r="CR115" s="41"/>
      <c r="CS115" s="42"/>
      <c r="CT115" s="43">
        <f>CV115+CX115+CZ115+DB115</f>
        <v>0</v>
      </c>
      <c r="CU115" s="41"/>
      <c r="CV115" s="40"/>
      <c r="CW115" s="40"/>
      <c r="CX115" s="40"/>
      <c r="CY115" s="40"/>
      <c r="CZ115" s="40"/>
      <c r="DA115" s="41"/>
      <c r="DB115" s="42"/>
      <c r="DC115" s="43">
        <f t="shared" si="44"/>
        <v>0</v>
      </c>
      <c r="DD115" s="41"/>
      <c r="DE115" s="40"/>
      <c r="DF115" s="40"/>
      <c r="DG115" s="40"/>
      <c r="DH115" s="40"/>
      <c r="DI115" s="40"/>
      <c r="DJ115" s="41"/>
      <c r="DK115" s="42"/>
    </row>
    <row r="116" spans="1:115" s="1" customFormat="1" ht="15" hidden="1" customHeight="1" x14ac:dyDescent="0.3">
      <c r="A116" s="2"/>
      <c r="B116" s="14">
        <v>1260</v>
      </c>
      <c r="C116" s="5" t="s">
        <v>251</v>
      </c>
      <c r="D116" s="15">
        <v>2011</v>
      </c>
      <c r="E116" s="16">
        <f t="shared" si="45"/>
        <v>0</v>
      </c>
      <c r="F116" s="37" t="s">
        <v>157</v>
      </c>
      <c r="G116" s="37"/>
      <c r="H116" s="37" t="s">
        <v>252</v>
      </c>
      <c r="I116" s="37" t="s">
        <v>253</v>
      </c>
      <c r="J116" s="38"/>
      <c r="K116" s="39"/>
      <c r="L116" s="40"/>
      <c r="M116" s="41"/>
      <c r="N116" s="42"/>
      <c r="O116" s="38"/>
      <c r="P116" s="39"/>
      <c r="Q116" s="42"/>
      <c r="R116" s="43"/>
      <c r="S116" s="120"/>
      <c r="T116" s="45"/>
      <c r="U116" s="120"/>
      <c r="V116" s="45"/>
      <c r="W116" s="120"/>
      <c r="X116" s="45"/>
      <c r="Y116" s="120"/>
      <c r="Z116" s="45"/>
      <c r="AA116" s="120"/>
      <c r="AB116" s="78"/>
      <c r="AC116" s="82"/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/>
      <c r="AO116" s="41"/>
      <c r="AP116" s="40"/>
      <c r="AQ116" s="41"/>
      <c r="AR116" s="40"/>
      <c r="AS116" s="41"/>
      <c r="AT116" s="40"/>
      <c r="AU116" s="41"/>
      <c r="AV116" s="42"/>
      <c r="AW116" s="43"/>
      <c r="AX116" s="41"/>
      <c r="AY116" s="40"/>
      <c r="AZ116" s="41"/>
      <c r="BA116" s="40"/>
      <c r="BB116" s="41"/>
      <c r="BC116" s="40"/>
      <c r="BD116" s="41"/>
      <c r="BE116" s="42"/>
      <c r="BF116" s="43"/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/>
      <c r="BR116" s="41"/>
      <c r="BS116" s="40"/>
      <c r="BT116" s="41"/>
      <c r="BU116" s="40"/>
      <c r="BV116" s="41"/>
      <c r="BW116" s="40"/>
      <c r="BX116" s="41"/>
      <c r="BY116" s="42"/>
      <c r="BZ116" s="43"/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/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1"/>
      <c r="CX116" s="40"/>
      <c r="CY116" s="40"/>
      <c r="CZ116" s="40"/>
      <c r="DA116" s="41"/>
      <c r="DB116" s="42"/>
      <c r="DC116" s="43">
        <f t="shared" si="44"/>
        <v>0</v>
      </c>
      <c r="DD116" s="41"/>
      <c r="DE116" s="40"/>
      <c r="DF116" s="41"/>
      <c r="DG116" s="40"/>
      <c r="DH116" s="41"/>
      <c r="DI116" s="40"/>
      <c r="DJ116" s="41"/>
      <c r="DK116" s="42"/>
    </row>
    <row r="117" spans="1:115" s="1" customFormat="1" ht="15" hidden="1" customHeight="1" x14ac:dyDescent="0.3">
      <c r="A117" s="2"/>
      <c r="B117" s="14">
        <v>9716</v>
      </c>
      <c r="C117" s="5" t="s">
        <v>254</v>
      </c>
      <c r="D117" s="15">
        <v>2011</v>
      </c>
      <c r="E117" s="16">
        <f t="shared" si="45"/>
        <v>0</v>
      </c>
      <c r="F117" s="37" t="s">
        <v>162</v>
      </c>
      <c r="G117" s="37"/>
      <c r="H117" s="37" t="s">
        <v>255</v>
      </c>
      <c r="I117" s="37"/>
      <c r="J117" s="38"/>
      <c r="K117" s="39"/>
      <c r="L117" s="40"/>
      <c r="M117" s="41"/>
      <c r="N117" s="42"/>
      <c r="O117" s="38"/>
      <c r="P117" s="39"/>
      <c r="Q117" s="42"/>
      <c r="R117" s="43"/>
      <c r="S117" s="44"/>
      <c r="T117" s="45"/>
      <c r="U117" s="44"/>
      <c r="V117" s="45"/>
      <c r="W117" s="44"/>
      <c r="X117" s="45"/>
      <c r="Y117" s="96"/>
      <c r="Z117" s="45"/>
      <c r="AA117" s="44"/>
      <c r="AB117" s="78"/>
      <c r="AC117" s="82"/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/>
      <c r="AO117" s="41"/>
      <c r="AP117" s="40"/>
      <c r="AQ117" s="41"/>
      <c r="AR117" s="40"/>
      <c r="AS117" s="41"/>
      <c r="AT117" s="40"/>
      <c r="AU117" s="41"/>
      <c r="AV117" s="42"/>
      <c r="AW117" s="43"/>
      <c r="AX117" s="41"/>
      <c r="AY117" s="40"/>
      <c r="AZ117" s="41"/>
      <c r="BA117" s="40"/>
      <c r="BB117" s="41"/>
      <c r="BC117" s="40"/>
      <c r="BD117" s="41"/>
      <c r="BE117" s="42"/>
      <c r="BF117" s="43"/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/>
      <c r="BR117" s="41"/>
      <c r="BS117" s="40"/>
      <c r="BT117" s="41"/>
      <c r="BU117" s="40"/>
      <c r="BV117" s="41"/>
      <c r="BW117" s="40"/>
      <c r="BX117" s="41"/>
      <c r="BY117" s="42"/>
      <c r="BZ117" s="43"/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/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1"/>
      <c r="CX117" s="40"/>
      <c r="CY117" s="40"/>
      <c r="CZ117" s="40"/>
      <c r="DA117" s="41"/>
      <c r="DB117" s="42"/>
      <c r="DC117" s="43">
        <f t="shared" si="44"/>
        <v>0</v>
      </c>
      <c r="DD117" s="41"/>
      <c r="DE117" s="40"/>
      <c r="DF117" s="41"/>
      <c r="DG117" s="40"/>
      <c r="DH117" s="41"/>
      <c r="DI117" s="40"/>
      <c r="DJ117" s="41"/>
      <c r="DK117" s="42"/>
    </row>
    <row r="118" spans="1:115" s="1" customFormat="1" ht="15" hidden="1" customHeight="1" x14ac:dyDescent="0.3">
      <c r="A118" s="2"/>
      <c r="B118" s="14">
        <v>9767</v>
      </c>
      <c r="C118" s="5" t="s">
        <v>128</v>
      </c>
      <c r="D118" s="15">
        <v>2011</v>
      </c>
      <c r="E118" s="16">
        <f t="shared" si="45"/>
        <v>0</v>
      </c>
      <c r="F118" s="37"/>
      <c r="G118" s="37"/>
      <c r="H118" s="37"/>
      <c r="I118" s="37"/>
      <c r="J118" s="38"/>
      <c r="K118" s="39"/>
      <c r="L118" s="40"/>
      <c r="M118" s="41"/>
      <c r="N118" s="42"/>
      <c r="O118" s="38"/>
      <c r="P118" s="39"/>
      <c r="Q118" s="42"/>
      <c r="R118" s="43"/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/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/>
      <c r="AO118" s="41"/>
      <c r="AP118" s="40"/>
      <c r="AQ118" s="41"/>
      <c r="AR118" s="40"/>
      <c r="AS118" s="41"/>
      <c r="AT118" s="40"/>
      <c r="AU118" s="41"/>
      <c r="AV118" s="42"/>
      <c r="AW118" s="43"/>
      <c r="AX118" s="41"/>
      <c r="AY118" s="40"/>
      <c r="AZ118" s="41"/>
      <c r="BA118" s="40"/>
      <c r="BB118" s="41"/>
      <c r="BC118" s="40"/>
      <c r="BD118" s="41"/>
      <c r="BE118" s="42"/>
      <c r="BF118" s="43"/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/>
      <c r="BR118" s="41"/>
      <c r="BS118" s="40"/>
      <c r="BT118" s="41"/>
      <c r="BU118" s="40"/>
      <c r="BV118" s="41"/>
      <c r="BW118" s="40"/>
      <c r="BX118" s="41"/>
      <c r="BY118" s="42"/>
      <c r="BZ118" s="43"/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/>
      <c r="CL118" s="41"/>
      <c r="CM118" s="40"/>
      <c r="CN118" s="41"/>
      <c r="CO118" s="40"/>
      <c r="CP118" s="41"/>
      <c r="CQ118" s="40"/>
      <c r="CR118" s="41"/>
      <c r="CS118" s="42"/>
      <c r="CT118" s="43"/>
      <c r="CU118" s="41"/>
      <c r="CV118" s="40"/>
      <c r="CW118" s="41"/>
      <c r="CX118" s="40"/>
      <c r="CY118" s="40"/>
      <c r="CZ118" s="40"/>
      <c r="DA118" s="41"/>
      <c r="DB118" s="42"/>
      <c r="DC118" s="43">
        <f t="shared" si="44"/>
        <v>0</v>
      </c>
      <c r="DD118" s="41"/>
      <c r="DE118" s="40"/>
      <c r="DF118" s="41"/>
      <c r="DG118" s="40"/>
      <c r="DH118" s="41"/>
      <c r="DI118" s="40"/>
      <c r="DJ118" s="41"/>
      <c r="DK118" s="42"/>
    </row>
    <row r="119" spans="1:115" s="1" customFormat="1" ht="15" hidden="1" customHeight="1" x14ac:dyDescent="0.3">
      <c r="A119" s="2"/>
      <c r="B119" s="14">
        <v>7112</v>
      </c>
      <c r="C119" s="5" t="s">
        <v>93</v>
      </c>
      <c r="D119" s="15">
        <v>2009</v>
      </c>
      <c r="E119" s="16">
        <f t="shared" si="45"/>
        <v>0</v>
      </c>
      <c r="F119" s="37"/>
      <c r="G119" s="37"/>
      <c r="H119" s="37"/>
      <c r="I119" s="37"/>
      <c r="J119" s="38"/>
      <c r="K119" s="39"/>
      <c r="L119" s="40"/>
      <c r="M119" s="41"/>
      <c r="N119" s="42"/>
      <c r="O119" s="38"/>
      <c r="P119" s="39"/>
      <c r="Q119" s="42"/>
      <c r="R119" s="43"/>
      <c r="S119" s="44"/>
      <c r="T119" s="45"/>
      <c r="U119" s="44"/>
      <c r="V119" s="45"/>
      <c r="W119" s="44"/>
      <c r="X119" s="45"/>
      <c r="Y119" s="44"/>
      <c r="Z119" s="45"/>
      <c r="AA119" s="44"/>
      <c r="AB119" s="78"/>
      <c r="AC119" s="82"/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/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/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/>
      <c r="BR119" s="41"/>
      <c r="BS119" s="40"/>
      <c r="BT119" s="41"/>
      <c r="BU119" s="40"/>
      <c r="BV119" s="41"/>
      <c r="BW119" s="40"/>
      <c r="BX119" s="41"/>
      <c r="BY119" s="42"/>
      <c r="BZ119" s="43"/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42"/>
      <c r="CT119" s="43"/>
      <c r="CU119" s="41"/>
      <c r="CV119" s="40"/>
      <c r="CW119" s="40"/>
      <c r="CX119" s="40"/>
      <c r="CY119" s="40"/>
      <c r="CZ119" s="40"/>
      <c r="DA119" s="41"/>
      <c r="DB119" s="42"/>
      <c r="DC119" s="43">
        <f t="shared" si="44"/>
        <v>0</v>
      </c>
      <c r="DD119" s="41"/>
      <c r="DE119" s="40"/>
      <c r="DF119" s="41"/>
      <c r="DG119" s="40"/>
      <c r="DH119" s="41"/>
      <c r="DI119" s="40"/>
      <c r="DJ119" s="41"/>
      <c r="DK119" s="42"/>
    </row>
    <row r="120" spans="1:115" s="1" customFormat="1" ht="15" hidden="1" customHeight="1" x14ac:dyDescent="0.3">
      <c r="A120" s="2">
        <f t="shared" ref="A120:A164" si="46">A119+1</f>
        <v>1</v>
      </c>
      <c r="B120" s="14">
        <v>6804</v>
      </c>
      <c r="C120" s="5" t="s">
        <v>75</v>
      </c>
      <c r="D120" s="15">
        <v>2008</v>
      </c>
      <c r="E120" s="16">
        <f t="shared" si="45"/>
        <v>0</v>
      </c>
      <c r="F120" s="37"/>
      <c r="G120" s="37"/>
      <c r="H120" s="37"/>
      <c r="I120" s="37"/>
      <c r="J120" s="38">
        <f t="shared" ref="J120:J127" si="47">L120+N120</f>
        <v>0</v>
      </c>
      <c r="K120" s="39"/>
      <c r="L120" s="40"/>
      <c r="M120" s="41"/>
      <c r="N120" s="42"/>
      <c r="O120" s="38">
        <f t="shared" ref="O120:O127" si="48">Q120</f>
        <v>0</v>
      </c>
      <c r="P120" s="39"/>
      <c r="Q120" s="42"/>
      <c r="R120" s="43">
        <f t="shared" ref="R120:R127" si="49">T120+V120+X120+Z120+AB120</f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 t="shared" ref="AC120:AC127" si="50">AE120+AG120+AI120+AK120+AM120</f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>
        <f t="shared" ref="AN120:AN125" si="51">AP120+AR120+AT120+AV120</f>
        <v>0</v>
      </c>
      <c r="AO120" s="41"/>
      <c r="AP120" s="40"/>
      <c r="AQ120" s="41"/>
      <c r="AR120" s="40"/>
      <c r="AS120" s="41"/>
      <c r="AT120" s="40"/>
      <c r="AU120" s="41"/>
      <c r="AV120" s="42"/>
      <c r="AW120" s="43">
        <f t="shared" ref="AW120:AW127" si="52">AY120+BA120+BC120+BE120</f>
        <v>0</v>
      </c>
      <c r="AX120" s="41"/>
      <c r="AY120" s="40"/>
      <c r="AZ120" s="41"/>
      <c r="BA120" s="40"/>
      <c r="BB120" s="41"/>
      <c r="BC120" s="40"/>
      <c r="BD120" s="41"/>
      <c r="BE120" s="42"/>
      <c r="BF120" s="43">
        <f t="shared" ref="BF120:BF127" si="53">BH120+BJ120+BL120+BN120+BP120</f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>
        <f t="shared" ref="BQ120:BQ127" si="54">BS120+BU120+BW120+BY120</f>
        <v>0</v>
      </c>
      <c r="BR120" s="41"/>
      <c r="BS120" s="40"/>
      <c r="BT120" s="41"/>
      <c r="BU120" s="40"/>
      <c r="BV120" s="41"/>
      <c r="BW120" s="40"/>
      <c r="BX120" s="41"/>
      <c r="BY120" s="42"/>
      <c r="BZ120" s="43">
        <f t="shared" ref="BZ120:BZ127" si="55">CB120+CD120+CF120+CH120+CJ120</f>
        <v>0</v>
      </c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>
        <f t="shared" ref="CK120:CK127" si="56">CM120+CO120+CQ120+CS120</f>
        <v>0</v>
      </c>
      <c r="CL120" s="41"/>
      <c r="CM120" s="40"/>
      <c r="CN120" s="41"/>
      <c r="CO120" s="40"/>
      <c r="CP120" s="41"/>
      <c r="CQ120" s="40"/>
      <c r="CR120" s="41"/>
      <c r="CS120" s="42"/>
      <c r="CT120" s="43">
        <f t="shared" ref="CT120:CT126" si="57">CV120+CX120+CZ120+DB120</f>
        <v>0</v>
      </c>
      <c r="CU120" s="41"/>
      <c r="CV120" s="40"/>
      <c r="CW120" s="40"/>
      <c r="CX120" s="40"/>
      <c r="CY120" s="40"/>
      <c r="CZ120" s="40"/>
      <c r="DA120" s="41"/>
      <c r="DB120" s="42"/>
      <c r="DC120" s="43">
        <f t="shared" si="44"/>
        <v>0</v>
      </c>
      <c r="DD120" s="41"/>
      <c r="DE120" s="40"/>
      <c r="DF120" s="40"/>
      <c r="DG120" s="40"/>
      <c r="DH120" s="40"/>
      <c r="DI120" s="40"/>
      <c r="DJ120" s="41"/>
      <c r="DK120" s="42"/>
    </row>
    <row r="121" spans="1:115" s="1" customFormat="1" ht="15" hidden="1" customHeight="1" x14ac:dyDescent="0.3">
      <c r="A121" s="2">
        <f t="shared" si="46"/>
        <v>2</v>
      </c>
      <c r="B121" s="14">
        <v>9423</v>
      </c>
      <c r="C121" s="5" t="s">
        <v>120</v>
      </c>
      <c r="D121" s="15">
        <v>2008</v>
      </c>
      <c r="E121" s="16">
        <f t="shared" si="45"/>
        <v>0</v>
      </c>
      <c r="F121" s="37"/>
      <c r="G121" s="37"/>
      <c r="H121" s="37"/>
      <c r="I121" s="37"/>
      <c r="J121" s="38">
        <f t="shared" si="47"/>
        <v>0</v>
      </c>
      <c r="K121" s="39"/>
      <c r="L121" s="40"/>
      <c r="M121" s="41"/>
      <c r="N121" s="42"/>
      <c r="O121" s="38">
        <f t="shared" si="48"/>
        <v>0</v>
      </c>
      <c r="P121" s="39"/>
      <c r="Q121" s="42"/>
      <c r="R121" s="43">
        <f t="shared" si="49"/>
        <v>0</v>
      </c>
      <c r="S121" s="44"/>
      <c r="T121" s="45"/>
      <c r="U121" s="44"/>
      <c r="V121" s="45"/>
      <c r="W121" s="44"/>
      <c r="X121" s="45"/>
      <c r="Y121" s="96"/>
      <c r="Z121" s="45"/>
      <c r="AA121" s="44"/>
      <c r="AB121" s="78"/>
      <c r="AC121" s="82">
        <f t="shared" si="50"/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>
        <f t="shared" si="51"/>
        <v>0</v>
      </c>
      <c r="AO121" s="41"/>
      <c r="AP121" s="40"/>
      <c r="AQ121" s="41"/>
      <c r="AR121" s="40"/>
      <c r="AS121" s="41"/>
      <c r="AT121" s="40"/>
      <c r="AU121" s="41"/>
      <c r="AV121" s="42"/>
      <c r="AW121" s="43">
        <f t="shared" si="52"/>
        <v>0</v>
      </c>
      <c r="AX121" s="41"/>
      <c r="AY121" s="40"/>
      <c r="AZ121" s="41"/>
      <c r="BA121" s="40"/>
      <c r="BB121" s="41"/>
      <c r="BC121" s="40"/>
      <c r="BD121" s="41"/>
      <c r="BE121" s="42"/>
      <c r="BF121" s="43">
        <f t="shared" si="53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>
        <f t="shared" si="54"/>
        <v>0</v>
      </c>
      <c r="BR121" s="41"/>
      <c r="BS121" s="40"/>
      <c r="BT121" s="41"/>
      <c r="BU121" s="40"/>
      <c r="BV121" s="41"/>
      <c r="BW121" s="40"/>
      <c r="BX121" s="41"/>
      <c r="BY121" s="42"/>
      <c r="BZ121" s="43">
        <f t="shared" si="55"/>
        <v>0</v>
      </c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>
        <f t="shared" si="56"/>
        <v>0</v>
      </c>
      <c r="CL121" s="41"/>
      <c r="CM121" s="40"/>
      <c r="CN121" s="41"/>
      <c r="CO121" s="40"/>
      <c r="CP121" s="41"/>
      <c r="CQ121" s="40"/>
      <c r="CR121" s="41"/>
      <c r="CS121" s="42"/>
      <c r="CT121" s="43">
        <f t="shared" si="57"/>
        <v>0</v>
      </c>
      <c r="CU121" s="41"/>
      <c r="CV121" s="40"/>
      <c r="CW121" s="40"/>
      <c r="CX121" s="40"/>
      <c r="CY121" s="40"/>
      <c r="CZ121" s="40"/>
      <c r="DA121" s="41"/>
      <c r="DB121" s="42"/>
      <c r="DC121" s="43">
        <f t="shared" si="44"/>
        <v>0</v>
      </c>
      <c r="DD121" s="41"/>
      <c r="DE121" s="40"/>
      <c r="DF121" s="40"/>
      <c r="DG121" s="40"/>
      <c r="DH121" s="40"/>
      <c r="DI121" s="40"/>
      <c r="DJ121" s="41"/>
      <c r="DK121" s="42"/>
    </row>
    <row r="122" spans="1:115" s="1" customFormat="1" ht="15" hidden="1" customHeight="1" x14ac:dyDescent="0.3">
      <c r="A122" s="2">
        <f t="shared" si="46"/>
        <v>3</v>
      </c>
      <c r="B122" s="14">
        <v>6115</v>
      </c>
      <c r="C122" s="5" t="s">
        <v>52</v>
      </c>
      <c r="D122" s="15">
        <v>2007</v>
      </c>
      <c r="E122" s="16">
        <f t="shared" si="45"/>
        <v>0</v>
      </c>
      <c r="F122" s="37"/>
      <c r="G122" s="37"/>
      <c r="H122" s="37"/>
      <c r="I122" s="37"/>
      <c r="J122" s="38">
        <f t="shared" si="47"/>
        <v>0</v>
      </c>
      <c r="K122" s="39"/>
      <c r="L122" s="40"/>
      <c r="M122" s="41"/>
      <c r="N122" s="42"/>
      <c r="O122" s="38">
        <f t="shared" si="48"/>
        <v>0</v>
      </c>
      <c r="P122" s="39"/>
      <c r="Q122" s="42"/>
      <c r="R122" s="43">
        <f t="shared" si="49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>
        <f t="shared" si="50"/>
        <v>0</v>
      </c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>
        <f t="shared" si="51"/>
        <v>0</v>
      </c>
      <c r="AO122" s="41"/>
      <c r="AP122" s="40"/>
      <c r="AQ122" s="41"/>
      <c r="AR122" s="40"/>
      <c r="AS122" s="41"/>
      <c r="AT122" s="40"/>
      <c r="AU122" s="41"/>
      <c r="AV122" s="42"/>
      <c r="AW122" s="43">
        <f t="shared" si="52"/>
        <v>0</v>
      </c>
      <c r="AX122" s="41"/>
      <c r="AY122" s="40"/>
      <c r="AZ122" s="41"/>
      <c r="BA122" s="40"/>
      <c r="BB122" s="41"/>
      <c r="BC122" s="40"/>
      <c r="BD122" s="41"/>
      <c r="BE122" s="42"/>
      <c r="BF122" s="43">
        <f t="shared" si="53"/>
        <v>0</v>
      </c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>
        <f t="shared" si="54"/>
        <v>0</v>
      </c>
      <c r="BR122" s="41"/>
      <c r="BS122" s="40"/>
      <c r="BT122" s="41"/>
      <c r="BU122" s="40"/>
      <c r="BV122" s="41"/>
      <c r="BW122" s="40"/>
      <c r="BX122" s="41"/>
      <c r="BY122" s="42"/>
      <c r="BZ122" s="43">
        <f t="shared" si="55"/>
        <v>0</v>
      </c>
      <c r="CA122" s="106"/>
      <c r="CB122" s="102"/>
      <c r="CC122" s="41"/>
      <c r="CD122" s="40"/>
      <c r="CE122" s="41"/>
      <c r="CF122" s="40"/>
      <c r="CG122" s="41"/>
      <c r="CH122" s="40"/>
      <c r="CI122" s="41"/>
      <c r="CJ122" s="42"/>
      <c r="CK122" s="43">
        <f t="shared" si="56"/>
        <v>0</v>
      </c>
      <c r="CL122" s="41"/>
      <c r="CM122" s="40"/>
      <c r="CN122" s="41"/>
      <c r="CO122" s="40"/>
      <c r="CP122" s="41"/>
      <c r="CQ122" s="40"/>
      <c r="CR122" s="41"/>
      <c r="CS122" s="42"/>
      <c r="CT122" s="43">
        <f t="shared" si="57"/>
        <v>0</v>
      </c>
      <c r="CU122" s="41"/>
      <c r="CV122" s="40"/>
      <c r="CW122" s="40"/>
      <c r="CX122" s="40"/>
      <c r="CY122" s="40"/>
      <c r="CZ122" s="40"/>
      <c r="DA122" s="41"/>
      <c r="DB122" s="42"/>
      <c r="DC122" s="43">
        <f t="shared" si="44"/>
        <v>0</v>
      </c>
      <c r="DD122" s="41"/>
      <c r="DE122" s="40"/>
      <c r="DF122" s="40"/>
      <c r="DG122" s="40"/>
      <c r="DH122" s="40"/>
      <c r="DI122" s="40"/>
      <c r="DJ122" s="41"/>
      <c r="DK122" s="42"/>
    </row>
    <row r="123" spans="1:115" s="1" customFormat="1" ht="15" hidden="1" customHeight="1" x14ac:dyDescent="0.3">
      <c r="A123" s="2">
        <f t="shared" si="46"/>
        <v>4</v>
      </c>
      <c r="B123" s="14">
        <v>4506</v>
      </c>
      <c r="C123" s="5" t="s">
        <v>104</v>
      </c>
      <c r="D123" s="15">
        <v>2004</v>
      </c>
      <c r="E123" s="16">
        <f t="shared" si="45"/>
        <v>0</v>
      </c>
      <c r="F123" s="37"/>
      <c r="G123" s="37"/>
      <c r="H123" s="37"/>
      <c r="I123" s="37"/>
      <c r="J123" s="38">
        <f t="shared" si="47"/>
        <v>0</v>
      </c>
      <c r="K123" s="39"/>
      <c r="L123" s="40"/>
      <c r="M123" s="41"/>
      <c r="N123" s="42"/>
      <c r="O123" s="38">
        <f t="shared" si="48"/>
        <v>0</v>
      </c>
      <c r="P123" s="39"/>
      <c r="Q123" s="42"/>
      <c r="R123" s="43">
        <f t="shared" si="49"/>
        <v>0</v>
      </c>
      <c r="S123" s="44"/>
      <c r="T123" s="45"/>
      <c r="U123" s="44"/>
      <c r="V123" s="45"/>
      <c r="W123" s="44"/>
      <c r="X123" s="45"/>
      <c r="Y123" s="44"/>
      <c r="Z123" s="45"/>
      <c r="AA123" s="44"/>
      <c r="AB123" s="78"/>
      <c r="AC123" s="82">
        <f t="shared" si="50"/>
        <v>0</v>
      </c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>
        <f t="shared" si="51"/>
        <v>0</v>
      </c>
      <c r="AO123" s="41"/>
      <c r="AP123" s="40"/>
      <c r="AQ123" s="41"/>
      <c r="AR123" s="40"/>
      <c r="AS123" s="41"/>
      <c r="AT123" s="40"/>
      <c r="AU123" s="41"/>
      <c r="AV123" s="42"/>
      <c r="AW123" s="43">
        <f t="shared" si="52"/>
        <v>0</v>
      </c>
      <c r="AX123" s="41"/>
      <c r="AY123" s="40"/>
      <c r="AZ123" s="41"/>
      <c r="BA123" s="40"/>
      <c r="BB123" s="41"/>
      <c r="BC123" s="40"/>
      <c r="BD123" s="41"/>
      <c r="BE123" s="42"/>
      <c r="BF123" s="43">
        <f t="shared" si="53"/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>
        <f t="shared" si="54"/>
        <v>0</v>
      </c>
      <c r="BR123" s="41"/>
      <c r="BS123" s="40"/>
      <c r="BT123" s="41"/>
      <c r="BU123" s="40"/>
      <c r="BV123" s="41"/>
      <c r="BW123" s="40"/>
      <c r="BX123" s="41"/>
      <c r="BY123" s="42"/>
      <c r="BZ123" s="43">
        <f t="shared" si="55"/>
        <v>0</v>
      </c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>
        <f t="shared" si="56"/>
        <v>0</v>
      </c>
      <c r="CL123" s="41"/>
      <c r="CM123" s="40"/>
      <c r="CN123" s="41"/>
      <c r="CO123" s="40"/>
      <c r="CP123" s="41"/>
      <c r="CQ123" s="40"/>
      <c r="CR123" s="41"/>
      <c r="CS123" s="42"/>
      <c r="CT123" s="43">
        <f t="shared" si="57"/>
        <v>0</v>
      </c>
      <c r="CU123" s="41"/>
      <c r="CV123" s="40"/>
      <c r="CW123" s="40"/>
      <c r="CX123" s="40"/>
      <c r="CY123" s="40"/>
      <c r="CZ123" s="40"/>
      <c r="DA123" s="41"/>
      <c r="DB123" s="42"/>
      <c r="DC123" s="43">
        <f t="shared" si="44"/>
        <v>0</v>
      </c>
      <c r="DD123" s="41"/>
      <c r="DE123" s="40"/>
      <c r="DF123" s="40"/>
      <c r="DG123" s="40"/>
      <c r="DH123" s="40"/>
      <c r="DI123" s="40"/>
      <c r="DJ123" s="41"/>
      <c r="DK123" s="42"/>
    </row>
    <row r="124" spans="1:115" s="1" customFormat="1" ht="15" hidden="1" customHeight="1" x14ac:dyDescent="0.3">
      <c r="A124" s="2">
        <f t="shared" si="46"/>
        <v>5</v>
      </c>
      <c r="B124" s="14">
        <v>6551</v>
      </c>
      <c r="C124" s="5" t="s">
        <v>67</v>
      </c>
      <c r="D124" s="15">
        <v>2008</v>
      </c>
      <c r="E124" s="16">
        <f t="shared" si="45"/>
        <v>0</v>
      </c>
      <c r="F124" s="37"/>
      <c r="G124" s="37"/>
      <c r="H124" s="37"/>
      <c r="I124" s="37"/>
      <c r="J124" s="38">
        <f t="shared" si="47"/>
        <v>0</v>
      </c>
      <c r="K124" s="39"/>
      <c r="L124" s="40"/>
      <c r="M124" s="41"/>
      <c r="N124" s="42"/>
      <c r="O124" s="38">
        <f t="shared" si="48"/>
        <v>0</v>
      </c>
      <c r="P124" s="39"/>
      <c r="Q124" s="42"/>
      <c r="R124" s="43">
        <f t="shared" si="49"/>
        <v>0</v>
      </c>
      <c r="S124" s="44"/>
      <c r="T124" s="45"/>
      <c r="U124" s="44"/>
      <c r="V124" s="45"/>
      <c r="W124" s="44"/>
      <c r="X124" s="45"/>
      <c r="Y124" s="44"/>
      <c r="Z124" s="45"/>
      <c r="AA124" s="44"/>
      <c r="AB124" s="78"/>
      <c r="AC124" s="82">
        <f t="shared" si="50"/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>
        <f t="shared" si="51"/>
        <v>0</v>
      </c>
      <c r="AO124" s="41"/>
      <c r="AP124" s="40"/>
      <c r="AQ124" s="41"/>
      <c r="AR124" s="40"/>
      <c r="AS124" s="41"/>
      <c r="AT124" s="40"/>
      <c r="AU124" s="41"/>
      <c r="AV124" s="42"/>
      <c r="AW124" s="43">
        <f t="shared" si="52"/>
        <v>0</v>
      </c>
      <c r="AX124" s="41"/>
      <c r="AY124" s="40"/>
      <c r="AZ124" s="41"/>
      <c r="BA124" s="40"/>
      <c r="BB124" s="41"/>
      <c r="BC124" s="40"/>
      <c r="BD124" s="41"/>
      <c r="BE124" s="42"/>
      <c r="BF124" s="43">
        <f t="shared" si="53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>
        <f t="shared" si="54"/>
        <v>0</v>
      </c>
      <c r="BR124" s="41"/>
      <c r="BS124" s="40"/>
      <c r="BT124" s="41"/>
      <c r="BU124" s="40"/>
      <c r="BV124" s="41"/>
      <c r="BW124" s="40"/>
      <c r="BX124" s="41"/>
      <c r="BY124" s="42"/>
      <c r="BZ124" s="43">
        <f t="shared" si="55"/>
        <v>0</v>
      </c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>
        <f t="shared" si="56"/>
        <v>0</v>
      </c>
      <c r="CL124" s="41"/>
      <c r="CM124" s="40"/>
      <c r="CN124" s="41"/>
      <c r="CO124" s="40"/>
      <c r="CP124" s="41"/>
      <c r="CQ124" s="40"/>
      <c r="CR124" s="41"/>
      <c r="CS124" s="42"/>
      <c r="CT124" s="43">
        <f t="shared" si="57"/>
        <v>0</v>
      </c>
      <c r="CU124" s="41"/>
      <c r="CV124" s="40"/>
      <c r="CW124" s="40"/>
      <c r="CX124" s="40"/>
      <c r="CY124" s="40"/>
      <c r="CZ124" s="40"/>
      <c r="DA124" s="41"/>
      <c r="DB124" s="42"/>
      <c r="DC124" s="43">
        <f t="shared" si="44"/>
        <v>0</v>
      </c>
      <c r="DD124" s="41"/>
      <c r="DE124" s="40"/>
      <c r="DF124" s="40"/>
      <c r="DG124" s="40"/>
      <c r="DH124" s="40"/>
      <c r="DI124" s="40"/>
      <c r="DJ124" s="41"/>
      <c r="DK124" s="42"/>
    </row>
    <row r="125" spans="1:115" s="1" customFormat="1" ht="15" hidden="1" customHeight="1" x14ac:dyDescent="0.3">
      <c r="A125" s="2">
        <f t="shared" si="46"/>
        <v>6</v>
      </c>
      <c r="B125" s="14">
        <v>2050</v>
      </c>
      <c r="C125" s="5" t="s">
        <v>36</v>
      </c>
      <c r="D125" s="15">
        <v>2000</v>
      </c>
      <c r="E125" s="16">
        <f t="shared" si="45"/>
        <v>0</v>
      </c>
      <c r="F125" s="37"/>
      <c r="G125" s="37"/>
      <c r="H125" s="37"/>
      <c r="I125" s="37"/>
      <c r="J125" s="38">
        <f t="shared" si="47"/>
        <v>0</v>
      </c>
      <c r="K125" s="39"/>
      <c r="L125" s="40"/>
      <c r="M125" s="41"/>
      <c r="N125" s="42"/>
      <c r="O125" s="38">
        <f t="shared" si="48"/>
        <v>0</v>
      </c>
      <c r="P125" s="39"/>
      <c r="Q125" s="42"/>
      <c r="R125" s="43">
        <f t="shared" si="49"/>
        <v>0</v>
      </c>
      <c r="S125" s="44"/>
      <c r="T125" s="45"/>
      <c r="U125" s="44"/>
      <c r="V125" s="45"/>
      <c r="W125" s="44"/>
      <c r="X125" s="45"/>
      <c r="Y125" s="44"/>
      <c r="Z125" s="45"/>
      <c r="AA125" s="44"/>
      <c r="AB125" s="78"/>
      <c r="AC125" s="82">
        <f t="shared" si="50"/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 t="shared" si="51"/>
        <v>0</v>
      </c>
      <c r="AO125" s="41"/>
      <c r="AP125" s="40"/>
      <c r="AQ125" s="41"/>
      <c r="AR125" s="40"/>
      <c r="AS125" s="41"/>
      <c r="AT125" s="40"/>
      <c r="AU125" s="41"/>
      <c r="AV125" s="42"/>
      <c r="AW125" s="43">
        <f t="shared" si="52"/>
        <v>0</v>
      </c>
      <c r="AX125" s="41"/>
      <c r="AY125" s="40"/>
      <c r="AZ125" s="41"/>
      <c r="BA125" s="40"/>
      <c r="BB125" s="41"/>
      <c r="BC125" s="40"/>
      <c r="BD125" s="41"/>
      <c r="BE125" s="42"/>
      <c r="BF125" s="43">
        <f t="shared" si="53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 t="shared" si="54"/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 t="shared" si="55"/>
        <v>0</v>
      </c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>
        <f t="shared" si="56"/>
        <v>0</v>
      </c>
      <c r="CL125" s="41"/>
      <c r="CM125" s="40"/>
      <c r="CN125" s="41"/>
      <c r="CO125" s="40"/>
      <c r="CP125" s="41"/>
      <c r="CQ125" s="40"/>
      <c r="CR125" s="41"/>
      <c r="CS125" s="42"/>
      <c r="CT125" s="43">
        <f t="shared" si="57"/>
        <v>0</v>
      </c>
      <c r="CU125" s="41"/>
      <c r="CV125" s="40"/>
      <c r="CW125" s="40"/>
      <c r="CX125" s="40"/>
      <c r="CY125" s="40"/>
      <c r="CZ125" s="40"/>
      <c r="DA125" s="41"/>
      <c r="DB125" s="42"/>
      <c r="DC125" s="43">
        <f t="shared" si="44"/>
        <v>0</v>
      </c>
      <c r="DD125" s="41"/>
      <c r="DE125" s="40"/>
      <c r="DF125" s="40"/>
      <c r="DG125" s="40"/>
      <c r="DH125" s="40"/>
      <c r="DI125" s="40"/>
      <c r="DJ125" s="41"/>
      <c r="DK125" s="42"/>
    </row>
    <row r="126" spans="1:115" s="1" customFormat="1" ht="15" hidden="1" customHeight="1" x14ac:dyDescent="0.3">
      <c r="A126" s="2">
        <f t="shared" si="46"/>
        <v>7</v>
      </c>
      <c r="B126" s="14">
        <v>5994</v>
      </c>
      <c r="C126" s="5" t="s">
        <v>11</v>
      </c>
      <c r="D126" s="15">
        <v>2006</v>
      </c>
      <c r="E126" s="16">
        <f t="shared" si="45"/>
        <v>0</v>
      </c>
      <c r="F126" s="37" t="s">
        <v>148</v>
      </c>
      <c r="G126" s="37"/>
      <c r="H126" s="37" t="s">
        <v>186</v>
      </c>
      <c r="I126" s="37" t="s">
        <v>187</v>
      </c>
      <c r="J126" s="38">
        <f t="shared" si="47"/>
        <v>0</v>
      </c>
      <c r="K126" s="39"/>
      <c r="L126" s="40"/>
      <c r="M126" s="41"/>
      <c r="N126" s="42"/>
      <c r="O126" s="38">
        <f t="shared" si="48"/>
        <v>0</v>
      </c>
      <c r="P126" s="39"/>
      <c r="Q126" s="42"/>
      <c r="R126" s="43">
        <f t="shared" si="49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 t="shared" si="50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>AP126+AR126+AV126</f>
        <v>0</v>
      </c>
      <c r="AO126" s="41"/>
      <c r="AP126" s="40"/>
      <c r="AQ126" s="41"/>
      <c r="AR126" s="40"/>
      <c r="AS126" s="35">
        <v>7</v>
      </c>
      <c r="AT126" s="35" t="s">
        <v>110</v>
      </c>
      <c r="AU126" s="41"/>
      <c r="AV126" s="42"/>
      <c r="AW126" s="43">
        <f t="shared" si="52"/>
        <v>0</v>
      </c>
      <c r="AX126" s="41"/>
      <c r="AY126" s="40"/>
      <c r="AZ126" s="41"/>
      <c r="BA126" s="40"/>
      <c r="BB126" s="41"/>
      <c r="BC126" s="40"/>
      <c r="BD126" s="41"/>
      <c r="BE126" s="42"/>
      <c r="BF126" s="43">
        <f t="shared" si="53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 t="shared" si="54"/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 t="shared" si="55"/>
        <v>0</v>
      </c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>
        <f t="shared" si="56"/>
        <v>0</v>
      </c>
      <c r="CL126" s="41"/>
      <c r="CM126" s="40"/>
      <c r="CN126" s="41"/>
      <c r="CO126" s="40"/>
      <c r="CP126" s="41"/>
      <c r="CQ126" s="40"/>
      <c r="CR126" s="41"/>
      <c r="CS126" s="42"/>
      <c r="CT126" s="43">
        <f t="shared" si="57"/>
        <v>0</v>
      </c>
      <c r="CU126" s="41"/>
      <c r="CV126" s="40"/>
      <c r="CW126" s="40"/>
      <c r="CX126" s="40"/>
      <c r="CY126" s="40"/>
      <c r="CZ126" s="40"/>
      <c r="DA126" s="41"/>
      <c r="DB126" s="42"/>
      <c r="DC126" s="43">
        <f t="shared" si="44"/>
        <v>0</v>
      </c>
      <c r="DD126" s="41"/>
      <c r="DE126" s="40"/>
      <c r="DF126" s="40"/>
      <c r="DG126" s="40"/>
      <c r="DH126" s="40"/>
      <c r="DI126" s="40"/>
      <c r="DJ126" s="41"/>
      <c r="DK126" s="42"/>
    </row>
    <row r="127" spans="1:115" s="1" customFormat="1" ht="15" hidden="1" customHeight="1" x14ac:dyDescent="0.3">
      <c r="A127" s="2">
        <f t="shared" si="46"/>
        <v>8</v>
      </c>
      <c r="B127" s="14">
        <v>420</v>
      </c>
      <c r="C127" s="5" t="s">
        <v>272</v>
      </c>
      <c r="D127" s="15">
        <v>2012</v>
      </c>
      <c r="E127" s="16">
        <f t="shared" si="45"/>
        <v>0</v>
      </c>
      <c r="F127" s="37" t="s">
        <v>170</v>
      </c>
      <c r="G127" s="37"/>
      <c r="H127" s="37" t="s">
        <v>270</v>
      </c>
      <c r="I127" s="37" t="s">
        <v>271</v>
      </c>
      <c r="J127" s="38">
        <f t="shared" si="47"/>
        <v>0</v>
      </c>
      <c r="K127" s="39"/>
      <c r="L127" s="40"/>
      <c r="M127" s="41"/>
      <c r="N127" s="42"/>
      <c r="O127" s="38">
        <f t="shared" si="48"/>
        <v>0</v>
      </c>
      <c r="P127" s="39"/>
      <c r="Q127" s="42"/>
      <c r="R127" s="43">
        <f t="shared" si="49"/>
        <v>0</v>
      </c>
      <c r="S127" s="44"/>
      <c r="T127" s="45"/>
      <c r="U127" s="44"/>
      <c r="V127" s="45"/>
      <c r="W127" s="44"/>
      <c r="X127" s="45"/>
      <c r="Y127" s="44"/>
      <c r="Z127" s="45"/>
      <c r="AA127" s="44"/>
      <c r="AB127" s="78"/>
      <c r="AC127" s="82">
        <f t="shared" si="50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>
        <f>AP127+AR127+AT127+AV127</f>
        <v>0</v>
      </c>
      <c r="AO127" s="41"/>
      <c r="AP127" s="40"/>
      <c r="AQ127" s="41"/>
      <c r="AR127" s="40"/>
      <c r="AS127" s="41"/>
      <c r="AT127" s="40"/>
      <c r="AU127" s="41"/>
      <c r="AV127" s="42"/>
      <c r="AW127" s="43">
        <f t="shared" si="52"/>
        <v>0</v>
      </c>
      <c r="AX127" s="41"/>
      <c r="AY127" s="40"/>
      <c r="AZ127" s="41"/>
      <c r="BA127" s="40"/>
      <c r="BB127" s="41"/>
      <c r="BC127" s="40"/>
      <c r="BD127" s="41"/>
      <c r="BE127" s="42"/>
      <c r="BF127" s="43">
        <f t="shared" si="53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>
        <f t="shared" si="54"/>
        <v>0</v>
      </c>
      <c r="BR127" s="41"/>
      <c r="BS127" s="40"/>
      <c r="BT127" s="41"/>
      <c r="BU127" s="40"/>
      <c r="BV127" s="41"/>
      <c r="BW127" s="40"/>
      <c r="BX127" s="41"/>
      <c r="BY127" s="42"/>
      <c r="BZ127" s="43">
        <f t="shared" si="55"/>
        <v>0</v>
      </c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>
        <f t="shared" si="56"/>
        <v>0</v>
      </c>
      <c r="CL127" s="41"/>
      <c r="CM127" s="40"/>
      <c r="CN127" s="41"/>
      <c r="CO127" s="40"/>
      <c r="CP127" s="41"/>
      <c r="CQ127" s="40"/>
      <c r="CR127" s="41"/>
      <c r="CS127" s="42"/>
      <c r="CT127" s="43">
        <f>CV127+CX127+CZ127</f>
        <v>0</v>
      </c>
      <c r="CU127" s="41"/>
      <c r="CV127" s="40"/>
      <c r="CW127" s="41"/>
      <c r="CX127" s="40"/>
      <c r="CY127" s="40"/>
      <c r="CZ127" s="40"/>
      <c r="DA127" s="35">
        <v>6</v>
      </c>
      <c r="DB127" s="89" t="s">
        <v>110</v>
      </c>
      <c r="DC127" s="43">
        <f t="shared" si="44"/>
        <v>0</v>
      </c>
      <c r="DD127" s="41"/>
      <c r="DE127" s="40"/>
      <c r="DF127" s="40"/>
      <c r="DG127" s="40"/>
      <c r="DH127" s="40"/>
      <c r="DI127" s="40"/>
      <c r="DJ127" s="41"/>
      <c r="DK127" s="53"/>
    </row>
    <row r="128" spans="1:115" s="1" customFormat="1" ht="15" customHeight="1" x14ac:dyDescent="0.3">
      <c r="A128" s="2"/>
      <c r="B128" s="14">
        <v>9611</v>
      </c>
      <c r="C128" s="5" t="s">
        <v>294</v>
      </c>
      <c r="D128" s="15">
        <v>2009</v>
      </c>
      <c r="E128" s="16">
        <f t="shared" si="45"/>
        <v>0</v>
      </c>
      <c r="F128" s="37" t="s">
        <v>170</v>
      </c>
      <c r="G128" s="37"/>
      <c r="H128" s="37" t="s">
        <v>295</v>
      </c>
      <c r="I128" s="37" t="s">
        <v>171</v>
      </c>
      <c r="J128" s="38"/>
      <c r="K128" s="39"/>
      <c r="L128" s="40"/>
      <c r="M128" s="41"/>
      <c r="N128" s="42"/>
      <c r="O128" s="38"/>
      <c r="P128" s="39"/>
      <c r="Q128" s="42"/>
      <c r="R128" s="43"/>
      <c r="S128" s="44"/>
      <c r="T128" s="45"/>
      <c r="U128" s="44"/>
      <c r="V128" s="45"/>
      <c r="W128" s="44"/>
      <c r="X128" s="45"/>
      <c r="Y128" s="44"/>
      <c r="Z128" s="45"/>
      <c r="AA128" s="44"/>
      <c r="AB128" s="78"/>
      <c r="AC128" s="82"/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/>
      <c r="AO128" s="41"/>
      <c r="AP128" s="40"/>
      <c r="AQ128" s="41"/>
      <c r="AR128" s="40"/>
      <c r="AS128" s="41"/>
      <c r="AT128" s="40"/>
      <c r="AU128" s="41"/>
      <c r="AV128" s="42"/>
      <c r="AW128" s="43"/>
      <c r="AX128" s="41"/>
      <c r="AY128" s="40"/>
      <c r="AZ128" s="41"/>
      <c r="BA128" s="40"/>
      <c r="BB128" s="41"/>
      <c r="BC128" s="40"/>
      <c r="BD128" s="41"/>
      <c r="BE128" s="42"/>
      <c r="BF128" s="43"/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/>
      <c r="BR128" s="41"/>
      <c r="BS128" s="40"/>
      <c r="BT128" s="41"/>
      <c r="BU128" s="40"/>
      <c r="BV128" s="41"/>
      <c r="BW128" s="40"/>
      <c r="BX128" s="41"/>
      <c r="BY128" s="42"/>
      <c r="BZ128" s="43"/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/>
      <c r="CL128" s="41"/>
      <c r="CM128" s="40"/>
      <c r="CN128" s="41"/>
      <c r="CO128" s="40"/>
      <c r="CP128" s="41"/>
      <c r="CQ128" s="40"/>
      <c r="CR128" s="41"/>
      <c r="CS128" s="42"/>
      <c r="CT128" s="43"/>
      <c r="CU128" s="41"/>
      <c r="CV128" s="40"/>
      <c r="CW128" s="40"/>
      <c r="CX128" s="40"/>
      <c r="CY128" s="40"/>
      <c r="CZ128" s="40"/>
      <c r="DA128" s="41"/>
      <c r="DB128" s="42"/>
      <c r="DC128" s="43">
        <f>DE128+DG128+DK128</f>
        <v>0</v>
      </c>
      <c r="DD128" s="41"/>
      <c r="DE128" s="40"/>
      <c r="DF128" s="41"/>
      <c r="DG128" s="40"/>
      <c r="DH128" s="35">
        <v>7</v>
      </c>
      <c r="DI128" s="35" t="s">
        <v>110</v>
      </c>
      <c r="DJ128" s="41"/>
      <c r="DK128" s="42"/>
    </row>
    <row r="129" spans="1:115" s="1" customFormat="1" ht="15" hidden="1" customHeight="1" x14ac:dyDescent="0.3">
      <c r="A129" s="2"/>
      <c r="B129" s="14">
        <v>9781</v>
      </c>
      <c r="C129" s="5" t="s">
        <v>131</v>
      </c>
      <c r="D129" s="15">
        <v>2011</v>
      </c>
      <c r="E129" s="16">
        <f t="shared" si="45"/>
        <v>0</v>
      </c>
      <c r="F129" s="37" t="s">
        <v>155</v>
      </c>
      <c r="G129" s="37"/>
      <c r="H129" s="37" t="s">
        <v>259</v>
      </c>
      <c r="I129" s="37" t="s">
        <v>260</v>
      </c>
      <c r="J129" s="38"/>
      <c r="K129" s="39"/>
      <c r="L129" s="40"/>
      <c r="M129" s="41"/>
      <c r="N129" s="42"/>
      <c r="O129" s="38"/>
      <c r="P129" s="39"/>
      <c r="Q129" s="42"/>
      <c r="R129" s="43"/>
      <c r="S129" s="44"/>
      <c r="T129" s="45"/>
      <c r="U129" s="44"/>
      <c r="V129" s="45"/>
      <c r="W129" s="44"/>
      <c r="X129" s="45"/>
      <c r="Y129" s="44"/>
      <c r="Z129" s="45"/>
      <c r="AA129" s="44"/>
      <c r="AB129" s="78"/>
      <c r="AC129" s="82"/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/>
      <c r="AO129" s="41"/>
      <c r="AP129" s="40"/>
      <c r="AQ129" s="41"/>
      <c r="AR129" s="40"/>
      <c r="AS129" s="41"/>
      <c r="AT129" s="40"/>
      <c r="AU129" s="41"/>
      <c r="AV129" s="42"/>
      <c r="AW129" s="43"/>
      <c r="AX129" s="41"/>
      <c r="AY129" s="40"/>
      <c r="AZ129" s="41"/>
      <c r="BA129" s="40"/>
      <c r="BB129" s="41"/>
      <c r="BC129" s="40"/>
      <c r="BD129" s="41"/>
      <c r="BE129" s="42"/>
      <c r="BF129" s="43"/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/>
      <c r="BR129" s="41"/>
      <c r="BS129" s="40"/>
      <c r="BT129" s="41"/>
      <c r="BU129" s="40"/>
      <c r="BV129" s="41"/>
      <c r="BW129" s="40"/>
      <c r="BX129" s="41"/>
      <c r="BY129" s="42"/>
      <c r="BZ129" s="43"/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/>
      <c r="CL129" s="41"/>
      <c r="CM129" s="40"/>
      <c r="CN129" s="41"/>
      <c r="CO129" s="40"/>
      <c r="CP129" s="41"/>
      <c r="CQ129" s="40"/>
      <c r="CR129" s="41"/>
      <c r="CS129" s="42"/>
      <c r="CT129" s="43"/>
      <c r="CU129" s="86"/>
      <c r="CV129" s="87"/>
      <c r="CW129" s="41"/>
      <c r="CX129" s="40"/>
      <c r="CY129" s="40"/>
      <c r="CZ129" s="40"/>
      <c r="DA129" s="86"/>
      <c r="DB129" s="88"/>
      <c r="DC129" s="43">
        <f>DE129+DG129+DI129+DK129</f>
        <v>0</v>
      </c>
      <c r="DD129" s="41"/>
      <c r="DE129" s="40"/>
      <c r="DF129" s="41"/>
      <c r="DG129" s="40"/>
      <c r="DH129" s="41"/>
      <c r="DI129" s="40"/>
      <c r="DJ129" s="41"/>
      <c r="DK129" s="42"/>
    </row>
    <row r="130" spans="1:115" s="1" customFormat="1" ht="15" hidden="1" customHeight="1" x14ac:dyDescent="0.3">
      <c r="A130" s="2"/>
      <c r="B130" s="14">
        <v>1298</v>
      </c>
      <c r="C130" s="5" t="s">
        <v>261</v>
      </c>
      <c r="D130" s="15">
        <v>2011</v>
      </c>
      <c r="E130" s="16">
        <f t="shared" si="45"/>
        <v>0</v>
      </c>
      <c r="F130" s="37" t="s">
        <v>155</v>
      </c>
      <c r="G130" s="37"/>
      <c r="H130" s="37" t="s">
        <v>259</v>
      </c>
      <c r="I130" s="37" t="s">
        <v>260</v>
      </c>
      <c r="J130" s="38"/>
      <c r="K130" s="39"/>
      <c r="L130" s="40"/>
      <c r="M130" s="41"/>
      <c r="N130" s="42"/>
      <c r="O130" s="38"/>
      <c r="P130" s="39"/>
      <c r="Q130" s="42"/>
      <c r="R130" s="43"/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/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/>
      <c r="AO130" s="41"/>
      <c r="AP130" s="40"/>
      <c r="AQ130" s="41"/>
      <c r="AR130" s="40"/>
      <c r="AS130" s="41"/>
      <c r="AT130" s="40"/>
      <c r="AU130" s="41"/>
      <c r="AV130" s="42"/>
      <c r="AW130" s="43"/>
      <c r="AX130" s="41"/>
      <c r="AY130" s="40"/>
      <c r="AZ130" s="41"/>
      <c r="BA130" s="40"/>
      <c r="BB130" s="41"/>
      <c r="BC130" s="40"/>
      <c r="BD130" s="41"/>
      <c r="BE130" s="42"/>
      <c r="BF130" s="43"/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/>
      <c r="BR130" s="41"/>
      <c r="BS130" s="40"/>
      <c r="BT130" s="41"/>
      <c r="BU130" s="40"/>
      <c r="BV130" s="41"/>
      <c r="BW130" s="40"/>
      <c r="BX130" s="41"/>
      <c r="BY130" s="42"/>
      <c r="BZ130" s="43"/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43"/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1"/>
      <c r="CX130" s="40"/>
      <c r="CY130" s="40"/>
      <c r="CZ130" s="40"/>
      <c r="DA130" s="86"/>
      <c r="DB130" s="88"/>
      <c r="DC130" s="43">
        <f>DE130+DG130+DI130+DK130</f>
        <v>0</v>
      </c>
      <c r="DD130" s="41"/>
      <c r="DE130" s="40"/>
      <c r="DF130" s="41"/>
      <c r="DG130" s="40"/>
      <c r="DH130" s="41"/>
      <c r="DI130" s="40"/>
      <c r="DJ130" s="41"/>
      <c r="DK130" s="42"/>
    </row>
    <row r="131" spans="1:115" s="1" customFormat="1" ht="15" hidden="1" customHeight="1" x14ac:dyDescent="0.3">
      <c r="A131" s="2"/>
      <c r="B131" s="14">
        <v>9643</v>
      </c>
      <c r="C131" s="5" t="s">
        <v>134</v>
      </c>
      <c r="D131" s="15">
        <v>2011</v>
      </c>
      <c r="E131" s="16">
        <f t="shared" si="45"/>
        <v>0</v>
      </c>
      <c r="F131" s="37" t="s">
        <v>158</v>
      </c>
      <c r="G131" s="37"/>
      <c r="H131" s="37" t="s">
        <v>262</v>
      </c>
      <c r="I131" s="37" t="s">
        <v>263</v>
      </c>
      <c r="J131" s="38"/>
      <c r="K131" s="39"/>
      <c r="L131" s="40"/>
      <c r="M131" s="41"/>
      <c r="N131" s="42"/>
      <c r="O131" s="38"/>
      <c r="P131" s="39"/>
      <c r="Q131" s="42"/>
      <c r="R131" s="43"/>
      <c r="S131" s="44"/>
      <c r="T131" s="45"/>
      <c r="U131" s="44"/>
      <c r="V131" s="45"/>
      <c r="W131" s="96"/>
      <c r="X131" s="45"/>
      <c r="Y131" s="44"/>
      <c r="Z131" s="45"/>
      <c r="AA131" s="44"/>
      <c r="AB131" s="78"/>
      <c r="AC131" s="82"/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/>
      <c r="AO131" s="41"/>
      <c r="AP131" s="40"/>
      <c r="AQ131" s="41"/>
      <c r="AR131" s="40"/>
      <c r="AS131" s="41"/>
      <c r="AT131" s="40"/>
      <c r="AU131" s="41"/>
      <c r="AV131" s="42"/>
      <c r="AW131" s="43"/>
      <c r="AX131" s="41"/>
      <c r="AY131" s="40"/>
      <c r="AZ131" s="41"/>
      <c r="BA131" s="40"/>
      <c r="BB131" s="41"/>
      <c r="BC131" s="40"/>
      <c r="BD131" s="41"/>
      <c r="BE131" s="42"/>
      <c r="BF131" s="43"/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/>
      <c r="BR131" s="41"/>
      <c r="BS131" s="40"/>
      <c r="BT131" s="41"/>
      <c r="BU131" s="40"/>
      <c r="BV131" s="41"/>
      <c r="BW131" s="40"/>
      <c r="BX131" s="41"/>
      <c r="BY131" s="42"/>
      <c r="BZ131" s="43"/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/>
      <c r="CL131" s="41"/>
      <c r="CM131" s="40"/>
      <c r="CN131" s="41"/>
      <c r="CO131" s="40"/>
      <c r="CP131" s="41"/>
      <c r="CQ131" s="40"/>
      <c r="CR131" s="41"/>
      <c r="CS131" s="42"/>
      <c r="CT131" s="43"/>
      <c r="CU131" s="86"/>
      <c r="CV131" s="87"/>
      <c r="CW131" s="41"/>
      <c r="CX131" s="40"/>
      <c r="CY131" s="40"/>
      <c r="CZ131" s="40"/>
      <c r="DA131" s="86"/>
      <c r="DB131" s="88"/>
      <c r="DC131" s="43">
        <f>DE131+DG131+DI131+DK131</f>
        <v>0</v>
      </c>
      <c r="DD131" s="41"/>
      <c r="DE131" s="40"/>
      <c r="DF131" s="41"/>
      <c r="DG131" s="40"/>
      <c r="DH131" s="41"/>
      <c r="DI131" s="40"/>
      <c r="DJ131" s="41"/>
      <c r="DK131" s="42"/>
    </row>
    <row r="132" spans="1:115" s="1" customFormat="1" ht="15" hidden="1" customHeight="1" x14ac:dyDescent="0.3">
      <c r="A132" s="2"/>
      <c r="B132" s="14">
        <v>6649</v>
      </c>
      <c r="C132" s="5" t="s">
        <v>90</v>
      </c>
      <c r="D132" s="15">
        <v>2009</v>
      </c>
      <c r="E132" s="16">
        <f t="shared" si="45"/>
        <v>0</v>
      </c>
      <c r="F132" s="37"/>
      <c r="G132" s="37"/>
      <c r="H132" s="37"/>
      <c r="I132" s="37"/>
      <c r="J132" s="38"/>
      <c r="K132" s="39"/>
      <c r="L132" s="40"/>
      <c r="M132" s="41"/>
      <c r="N132" s="42"/>
      <c r="O132" s="38"/>
      <c r="P132" s="39"/>
      <c r="Q132" s="42"/>
      <c r="R132" s="43"/>
      <c r="S132" s="44"/>
      <c r="T132" s="45"/>
      <c r="U132" s="44"/>
      <c r="V132" s="45"/>
      <c r="W132" s="44"/>
      <c r="X132" s="45"/>
      <c r="Y132" s="44"/>
      <c r="Z132" s="45"/>
      <c r="AA132" s="44"/>
      <c r="AB132" s="78"/>
      <c r="AC132" s="82"/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/>
      <c r="AO132" s="41"/>
      <c r="AP132" s="40"/>
      <c r="AQ132" s="41"/>
      <c r="AR132" s="40"/>
      <c r="AS132" s="41"/>
      <c r="AT132" s="40"/>
      <c r="AU132" s="41"/>
      <c r="AV132" s="42"/>
      <c r="AW132" s="43"/>
      <c r="AX132" s="41"/>
      <c r="AY132" s="40"/>
      <c r="AZ132" s="41"/>
      <c r="BA132" s="40"/>
      <c r="BB132" s="41"/>
      <c r="BC132" s="40"/>
      <c r="BD132" s="41"/>
      <c r="BE132" s="42"/>
      <c r="BF132" s="43"/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/>
      <c r="BR132" s="41"/>
      <c r="BS132" s="40"/>
      <c r="BT132" s="41"/>
      <c r="BU132" s="40"/>
      <c r="BV132" s="41"/>
      <c r="BW132" s="40"/>
      <c r="BX132" s="41"/>
      <c r="BY132" s="42"/>
      <c r="BZ132" s="43"/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/>
      <c r="CL132" s="41"/>
      <c r="CM132" s="40"/>
      <c r="CN132" s="41"/>
      <c r="CO132" s="40"/>
      <c r="CP132" s="41"/>
      <c r="CQ132" s="40"/>
      <c r="CR132" s="41"/>
      <c r="CS132" s="42"/>
      <c r="CT132" s="43"/>
      <c r="CU132" s="41"/>
      <c r="CV132" s="40"/>
      <c r="CW132" s="40"/>
      <c r="CX132" s="40"/>
      <c r="CY132" s="40"/>
      <c r="CZ132" s="40"/>
      <c r="DA132" s="41"/>
      <c r="DB132" s="42"/>
      <c r="DC132" s="43">
        <f>DE132+DG132+DI132+DK132</f>
        <v>0</v>
      </c>
      <c r="DD132" s="41"/>
      <c r="DE132" s="40"/>
      <c r="DF132" s="41"/>
      <c r="DG132" s="40"/>
      <c r="DH132" s="41"/>
      <c r="DI132" s="40"/>
      <c r="DJ132" s="41"/>
      <c r="DK132" s="42"/>
    </row>
    <row r="133" spans="1:115" s="1" customFormat="1" ht="15" hidden="1" customHeight="1" x14ac:dyDescent="0.3">
      <c r="A133" s="2"/>
      <c r="B133" s="14">
        <v>6659</v>
      </c>
      <c r="C133" s="5" t="s">
        <v>72</v>
      </c>
      <c r="D133" s="15">
        <v>2009</v>
      </c>
      <c r="E133" s="16">
        <f t="shared" si="45"/>
        <v>0</v>
      </c>
      <c r="F133" s="37"/>
      <c r="G133" s="37"/>
      <c r="H133" s="37"/>
      <c r="I133" s="37"/>
      <c r="J133" s="38"/>
      <c r="K133" s="39"/>
      <c r="L133" s="40"/>
      <c r="M133" s="41"/>
      <c r="N133" s="42"/>
      <c r="O133" s="38"/>
      <c r="P133" s="39"/>
      <c r="Q133" s="42"/>
      <c r="R133" s="43"/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/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/>
      <c r="AO133" s="41"/>
      <c r="AP133" s="40"/>
      <c r="AQ133" s="41"/>
      <c r="AR133" s="40"/>
      <c r="AS133" s="41"/>
      <c r="AT133" s="40"/>
      <c r="AU133" s="41"/>
      <c r="AV133" s="42"/>
      <c r="AW133" s="43"/>
      <c r="AX133" s="41"/>
      <c r="AY133" s="40"/>
      <c r="AZ133" s="41"/>
      <c r="BA133" s="40"/>
      <c r="BB133" s="41"/>
      <c r="BC133" s="40"/>
      <c r="BD133" s="41"/>
      <c r="BE133" s="42"/>
      <c r="BF133" s="43"/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/>
      <c r="BR133" s="41"/>
      <c r="BS133" s="40"/>
      <c r="BT133" s="41"/>
      <c r="BU133" s="40"/>
      <c r="BV133" s="41"/>
      <c r="BW133" s="40"/>
      <c r="BX133" s="41"/>
      <c r="BY133" s="42"/>
      <c r="BZ133" s="43"/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/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>
        <f>DE133+DG133+DI133+DK133</f>
        <v>0</v>
      </c>
      <c r="DD133" s="41"/>
      <c r="DE133" s="40"/>
      <c r="DF133" s="41"/>
      <c r="DG133" s="40"/>
      <c r="DH133" s="41"/>
      <c r="DI133" s="40"/>
      <c r="DJ133" s="41"/>
      <c r="DK133" s="42"/>
    </row>
    <row r="134" spans="1:115" s="1" customFormat="1" ht="15" customHeight="1" x14ac:dyDescent="0.3">
      <c r="A134" s="126"/>
      <c r="B134" s="127">
        <v>7128</v>
      </c>
      <c r="C134" s="128" t="s">
        <v>95</v>
      </c>
      <c r="D134" s="129">
        <v>2010</v>
      </c>
      <c r="E134" s="130">
        <f t="shared" si="45"/>
        <v>0</v>
      </c>
      <c r="F134" s="131" t="s">
        <v>151</v>
      </c>
      <c r="G134" s="37"/>
      <c r="H134" s="37" t="s">
        <v>193</v>
      </c>
      <c r="I134" s="37"/>
      <c r="J134" s="38"/>
      <c r="K134" s="39"/>
      <c r="L134" s="40"/>
      <c r="M134" s="41"/>
      <c r="N134" s="42"/>
      <c r="O134" s="38"/>
      <c r="P134" s="39"/>
      <c r="Q134" s="42"/>
      <c r="R134" s="43"/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/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/>
      <c r="AO134" s="41"/>
      <c r="AP134" s="40"/>
      <c r="AQ134" s="41"/>
      <c r="AR134" s="40"/>
      <c r="AS134" s="41"/>
      <c r="AT134" s="40"/>
      <c r="AU134" s="41"/>
      <c r="AV134" s="42"/>
      <c r="AW134" s="43"/>
      <c r="AX134" s="41"/>
      <c r="AY134" s="40"/>
      <c r="AZ134" s="41"/>
      <c r="BA134" s="40"/>
      <c r="BB134" s="41"/>
      <c r="BC134" s="40"/>
      <c r="BD134" s="41"/>
      <c r="BE134" s="42"/>
      <c r="BF134" s="43"/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/>
      <c r="BR134" s="41"/>
      <c r="BS134" s="40"/>
      <c r="BT134" s="41"/>
      <c r="BU134" s="40"/>
      <c r="BV134" s="41"/>
      <c r="BW134" s="40"/>
      <c r="BX134" s="41"/>
      <c r="BY134" s="42"/>
      <c r="BZ134" s="43"/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/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132">
        <f>DE134+DG134+DK134</f>
        <v>0</v>
      </c>
      <c r="DD134" s="41"/>
      <c r="DE134" s="40"/>
      <c r="DF134" s="41"/>
      <c r="DG134" s="40"/>
      <c r="DH134" s="35">
        <v>9</v>
      </c>
      <c r="DI134" s="35" t="s">
        <v>110</v>
      </c>
      <c r="DJ134" s="41"/>
      <c r="DK134" s="42"/>
    </row>
    <row r="135" spans="1:115" s="1" customFormat="1" ht="15" hidden="1" customHeight="1" x14ac:dyDescent="0.3">
      <c r="A135" s="2"/>
      <c r="B135" s="14">
        <v>7109</v>
      </c>
      <c r="C135" s="5" t="s">
        <v>74</v>
      </c>
      <c r="D135" s="15">
        <v>2009</v>
      </c>
      <c r="E135" s="16">
        <f t="shared" si="45"/>
        <v>0</v>
      </c>
      <c r="F135" s="37"/>
      <c r="G135" s="37"/>
      <c r="H135" s="37"/>
      <c r="I135" s="37"/>
      <c r="J135" s="38"/>
      <c r="K135" s="39"/>
      <c r="L135" s="40"/>
      <c r="M135" s="41"/>
      <c r="N135" s="42"/>
      <c r="O135" s="38"/>
      <c r="P135" s="39"/>
      <c r="Q135" s="42"/>
      <c r="R135" s="43"/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/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/>
      <c r="AO135" s="41"/>
      <c r="AP135" s="40"/>
      <c r="AQ135" s="41"/>
      <c r="AR135" s="40"/>
      <c r="AS135" s="41"/>
      <c r="AT135" s="40"/>
      <c r="AU135" s="41"/>
      <c r="AV135" s="42"/>
      <c r="AW135" s="43"/>
      <c r="AX135" s="41"/>
      <c r="AY135" s="40"/>
      <c r="AZ135" s="41"/>
      <c r="BA135" s="40"/>
      <c r="BB135" s="41"/>
      <c r="BC135" s="40"/>
      <c r="BD135" s="41"/>
      <c r="BE135" s="42"/>
      <c r="BF135" s="43"/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/>
      <c r="BR135" s="41"/>
      <c r="BS135" s="40"/>
      <c r="BT135" s="41"/>
      <c r="BU135" s="40"/>
      <c r="BV135" s="41"/>
      <c r="BW135" s="40"/>
      <c r="BX135" s="41"/>
      <c r="BY135" s="42"/>
      <c r="BZ135" s="43"/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/>
      <c r="CL135" s="41"/>
      <c r="CM135" s="40"/>
      <c r="CN135" s="41"/>
      <c r="CO135" s="40"/>
      <c r="CP135" s="41"/>
      <c r="CQ135" s="40"/>
      <c r="CR135" s="41"/>
      <c r="CS135" s="42"/>
      <c r="CT135" s="43"/>
      <c r="CU135" s="41"/>
      <c r="CV135" s="40"/>
      <c r="CW135" s="40"/>
      <c r="CX135" s="40"/>
      <c r="CY135" s="40"/>
      <c r="CZ135" s="40"/>
      <c r="DA135" s="41"/>
      <c r="DB135" s="42"/>
      <c r="DC135" s="43">
        <f t="shared" ref="DC135:DC159" si="58">DE135+DG135+DI135+DK135</f>
        <v>0</v>
      </c>
      <c r="DD135" s="41"/>
      <c r="DE135" s="40"/>
      <c r="DF135" s="41"/>
      <c r="DG135" s="40"/>
      <c r="DH135" s="41"/>
      <c r="DI135" s="40"/>
      <c r="DJ135" s="41"/>
      <c r="DK135" s="42"/>
    </row>
    <row r="136" spans="1:115" s="1" customFormat="1" ht="15" hidden="1" customHeight="1" x14ac:dyDescent="0.3">
      <c r="A136" s="2">
        <f t="shared" si="46"/>
        <v>1</v>
      </c>
      <c r="B136" s="14">
        <v>5312</v>
      </c>
      <c r="C136" s="5" t="s">
        <v>47</v>
      </c>
      <c r="D136" s="15">
        <v>2006</v>
      </c>
      <c r="E136" s="16">
        <f t="shared" si="45"/>
        <v>0</v>
      </c>
      <c r="F136" s="37"/>
      <c r="G136" s="37"/>
      <c r="H136" s="37"/>
      <c r="I136" s="37"/>
      <c r="J136" s="38">
        <f>L136+N136</f>
        <v>0</v>
      </c>
      <c r="K136" s="39"/>
      <c r="L136" s="40"/>
      <c r="M136" s="41"/>
      <c r="N136" s="42"/>
      <c r="O136" s="38">
        <f>Q136</f>
        <v>0</v>
      </c>
      <c r="P136" s="39"/>
      <c r="Q136" s="42"/>
      <c r="R136" s="43">
        <f>T136+V136+X136+Z136+AB136</f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>AE136+AG136+AI136+AK136+AM136</f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>AP136+AR136+AT136+AV136</f>
        <v>0</v>
      </c>
      <c r="AO136" s="41"/>
      <c r="AP136" s="40"/>
      <c r="AQ136" s="41"/>
      <c r="AR136" s="40"/>
      <c r="AS136" s="41"/>
      <c r="AT136" s="40"/>
      <c r="AU136" s="41"/>
      <c r="AV136" s="42"/>
      <c r="AW136" s="43">
        <f>AY136+BA136+BC136+BE136</f>
        <v>0</v>
      </c>
      <c r="AX136" s="41"/>
      <c r="AY136" s="40"/>
      <c r="AZ136" s="41"/>
      <c r="BA136" s="40"/>
      <c r="BB136" s="41"/>
      <c r="BC136" s="40"/>
      <c r="BD136" s="41"/>
      <c r="BE136" s="42"/>
      <c r="BF136" s="43">
        <f>BH136+BJ136+BL136+BN136+BP136</f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>BS136+BU136+BW136+BY136</f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>CB136+CD136+CF136+CH136+CJ136</f>
        <v>0</v>
      </c>
      <c r="CA136" s="106"/>
      <c r="CB136" s="102"/>
      <c r="CC136" s="41"/>
      <c r="CD136" s="40"/>
      <c r="CE136" s="41"/>
      <c r="CF136" s="40"/>
      <c r="CG136" s="41"/>
      <c r="CH136" s="40"/>
      <c r="CI136" s="41"/>
      <c r="CJ136" s="42"/>
      <c r="CK136" s="43">
        <f>CM136+CO136+CQ136+CS136</f>
        <v>0</v>
      </c>
      <c r="CL136" s="41"/>
      <c r="CM136" s="40"/>
      <c r="CN136" s="41"/>
      <c r="CO136" s="40"/>
      <c r="CP136" s="41"/>
      <c r="CQ136" s="40"/>
      <c r="CR136" s="41"/>
      <c r="CS136" s="42"/>
      <c r="CT136" s="43">
        <f>CV136+CX136+CZ136+DB136</f>
        <v>0</v>
      </c>
      <c r="CU136" s="41"/>
      <c r="CV136" s="40"/>
      <c r="CW136" s="40"/>
      <c r="CX136" s="40"/>
      <c r="CY136" s="40"/>
      <c r="CZ136" s="40"/>
      <c r="DA136" s="41"/>
      <c r="DB136" s="42"/>
      <c r="DC136" s="43">
        <f t="shared" si="58"/>
        <v>0</v>
      </c>
      <c r="DD136" s="41"/>
      <c r="DE136" s="40"/>
      <c r="DF136" s="40"/>
      <c r="DG136" s="40"/>
      <c r="DH136" s="40"/>
      <c r="DI136" s="40"/>
      <c r="DJ136" s="41"/>
      <c r="DK136" s="42"/>
    </row>
    <row r="137" spans="1:115" s="1" customFormat="1" ht="15" hidden="1" customHeight="1" x14ac:dyDescent="0.3">
      <c r="A137" s="2">
        <f t="shared" si="46"/>
        <v>2</v>
      </c>
      <c r="B137" s="14">
        <v>2102</v>
      </c>
      <c r="C137" s="5" t="s">
        <v>55</v>
      </c>
      <c r="D137" s="17">
        <v>2000</v>
      </c>
      <c r="E137" s="16">
        <f t="shared" si="45"/>
        <v>0</v>
      </c>
      <c r="F137" s="37"/>
      <c r="G137" s="37"/>
      <c r="H137" s="37"/>
      <c r="I137" s="37"/>
      <c r="J137" s="38">
        <f>L137+N137</f>
        <v>0</v>
      </c>
      <c r="K137" s="39"/>
      <c r="L137" s="40"/>
      <c r="M137" s="41"/>
      <c r="N137" s="42"/>
      <c r="O137" s="38">
        <f>Q137</f>
        <v>0</v>
      </c>
      <c r="P137" s="39"/>
      <c r="Q137" s="42"/>
      <c r="R137" s="43">
        <f>T137+V137+X137+Z137+AB137</f>
        <v>0</v>
      </c>
      <c r="S137" s="44"/>
      <c r="T137" s="45"/>
      <c r="U137" s="44"/>
      <c r="V137" s="45"/>
      <c r="W137" s="44"/>
      <c r="X137" s="45"/>
      <c r="Y137" s="44"/>
      <c r="Z137" s="45"/>
      <c r="AA137" s="44"/>
      <c r="AB137" s="78"/>
      <c r="AC137" s="82">
        <f>AE137+AG137+AI137+AK137+AM137</f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>
        <f>AP137+AR137+AT137+AV137</f>
        <v>0</v>
      </c>
      <c r="AO137" s="41"/>
      <c r="AP137" s="40"/>
      <c r="AQ137" s="41"/>
      <c r="AR137" s="40"/>
      <c r="AS137" s="41"/>
      <c r="AT137" s="40"/>
      <c r="AU137" s="41"/>
      <c r="AV137" s="42"/>
      <c r="AW137" s="43">
        <f>AY137+BA137+BC137+BE137</f>
        <v>0</v>
      </c>
      <c r="AX137" s="41"/>
      <c r="AY137" s="40"/>
      <c r="AZ137" s="41"/>
      <c r="BA137" s="40"/>
      <c r="BB137" s="41"/>
      <c r="BC137" s="40"/>
      <c r="BD137" s="41"/>
      <c r="BE137" s="42"/>
      <c r="BF137" s="43">
        <f>BH137+BJ137+BL137+BN137+BP137</f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>
        <f>BS137+BU137+BW137+BY137</f>
        <v>0</v>
      </c>
      <c r="BR137" s="41"/>
      <c r="BS137" s="40"/>
      <c r="BT137" s="41"/>
      <c r="BU137" s="40"/>
      <c r="BV137" s="41"/>
      <c r="BW137" s="40"/>
      <c r="BX137" s="41"/>
      <c r="BY137" s="42"/>
      <c r="BZ137" s="43">
        <f>CB137+CD137+CF137+CH137+CJ137</f>
        <v>0</v>
      </c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>
        <f>CM137+CO137+CQ137+CS137</f>
        <v>0</v>
      </c>
      <c r="CL137" s="41"/>
      <c r="CM137" s="40"/>
      <c r="CN137" s="41"/>
      <c r="CO137" s="40"/>
      <c r="CP137" s="41"/>
      <c r="CQ137" s="40"/>
      <c r="CR137" s="41"/>
      <c r="CS137" s="42"/>
      <c r="CT137" s="43">
        <f>CV137+CX137+CZ137+DB137</f>
        <v>0</v>
      </c>
      <c r="CU137" s="41"/>
      <c r="CV137" s="40"/>
      <c r="CW137" s="40"/>
      <c r="CX137" s="40"/>
      <c r="CY137" s="40"/>
      <c r="CZ137" s="40"/>
      <c r="DA137" s="41"/>
      <c r="DB137" s="42"/>
      <c r="DC137" s="43">
        <f t="shared" si="58"/>
        <v>0</v>
      </c>
      <c r="DD137" s="41"/>
      <c r="DE137" s="40"/>
      <c r="DF137" s="40"/>
      <c r="DG137" s="40"/>
      <c r="DH137" s="40"/>
      <c r="DI137" s="40"/>
      <c r="DJ137" s="41"/>
      <c r="DK137" s="42"/>
    </row>
    <row r="138" spans="1:115" s="1" customFormat="1" ht="15" hidden="1" customHeight="1" x14ac:dyDescent="0.3">
      <c r="A138" s="2">
        <f t="shared" si="46"/>
        <v>3</v>
      </c>
      <c r="B138" s="14">
        <v>4571</v>
      </c>
      <c r="C138" s="5" t="s">
        <v>100</v>
      </c>
      <c r="D138" s="15">
        <v>2003</v>
      </c>
      <c r="E138" s="16">
        <f t="shared" si="45"/>
        <v>0</v>
      </c>
      <c r="F138" s="37"/>
      <c r="G138" s="37"/>
      <c r="H138" s="37"/>
      <c r="I138" s="37"/>
      <c r="J138" s="38">
        <f>L138+N138</f>
        <v>0</v>
      </c>
      <c r="K138" s="39"/>
      <c r="L138" s="40"/>
      <c r="M138" s="41"/>
      <c r="N138" s="42"/>
      <c r="O138" s="38">
        <f>Q138</f>
        <v>0</v>
      </c>
      <c r="P138" s="39"/>
      <c r="Q138" s="42"/>
      <c r="R138" s="43">
        <f>T138+V138+X138+Z138+AB138</f>
        <v>0</v>
      </c>
      <c r="S138" s="44"/>
      <c r="T138" s="45"/>
      <c r="U138" s="44"/>
      <c r="V138" s="45"/>
      <c r="W138" s="44"/>
      <c r="X138" s="45"/>
      <c r="Y138" s="44"/>
      <c r="Z138" s="45"/>
      <c r="AA138" s="44"/>
      <c r="AB138" s="78"/>
      <c r="AC138" s="82">
        <f>AE138+AG138+AI138+AK138+AM138</f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>
        <f>AP138+AR138+AT138+AV138</f>
        <v>0</v>
      </c>
      <c r="AO138" s="41"/>
      <c r="AP138" s="40"/>
      <c r="AQ138" s="41"/>
      <c r="AR138" s="40"/>
      <c r="AS138" s="41"/>
      <c r="AT138" s="40"/>
      <c r="AU138" s="41"/>
      <c r="AV138" s="42"/>
      <c r="AW138" s="43">
        <f>AY138+BA138+BC138+BE138</f>
        <v>0</v>
      </c>
      <c r="AX138" s="41"/>
      <c r="AY138" s="40"/>
      <c r="AZ138" s="41"/>
      <c r="BA138" s="40"/>
      <c r="BB138" s="41"/>
      <c r="BC138" s="40"/>
      <c r="BD138" s="41"/>
      <c r="BE138" s="42"/>
      <c r="BF138" s="43">
        <f>BH138+BJ138+BL138+BN138+BP138</f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>
        <f>BS138+BU138+BW138+BY138</f>
        <v>0</v>
      </c>
      <c r="BR138" s="41"/>
      <c r="BS138" s="40"/>
      <c r="BT138" s="41"/>
      <c r="BU138" s="40"/>
      <c r="BV138" s="41"/>
      <c r="BW138" s="40"/>
      <c r="BX138" s="41"/>
      <c r="BY138" s="42"/>
      <c r="BZ138" s="43">
        <f>CB138+CD138+CF138+CH138+CJ138</f>
        <v>0</v>
      </c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>
        <f>CM138+CO138+CQ138+CS138</f>
        <v>0</v>
      </c>
      <c r="CL138" s="41"/>
      <c r="CM138" s="40"/>
      <c r="CN138" s="41"/>
      <c r="CO138" s="40"/>
      <c r="CP138" s="41"/>
      <c r="CQ138" s="40"/>
      <c r="CR138" s="41"/>
      <c r="CS138" s="42"/>
      <c r="CT138" s="43">
        <f>CV138+CX138+CZ138+DB138</f>
        <v>0</v>
      </c>
      <c r="CU138" s="41"/>
      <c r="CV138" s="40"/>
      <c r="CW138" s="40"/>
      <c r="CX138" s="40"/>
      <c r="CY138" s="40"/>
      <c r="CZ138" s="40"/>
      <c r="DA138" s="41"/>
      <c r="DB138" s="42"/>
      <c r="DC138" s="43">
        <f t="shared" si="58"/>
        <v>0</v>
      </c>
      <c r="DD138" s="41"/>
      <c r="DE138" s="40"/>
      <c r="DF138" s="40"/>
      <c r="DG138" s="40"/>
      <c r="DH138" s="40"/>
      <c r="DI138" s="40"/>
      <c r="DJ138" s="41"/>
      <c r="DK138" s="42"/>
    </row>
    <row r="139" spans="1:115" s="1" customFormat="1" ht="15" hidden="1" customHeight="1" x14ac:dyDescent="0.3">
      <c r="A139" s="2"/>
      <c r="B139" s="14">
        <v>9512</v>
      </c>
      <c r="C139" s="5" t="s">
        <v>143</v>
      </c>
      <c r="D139" s="15">
        <v>2011</v>
      </c>
      <c r="E139" s="16">
        <f t="shared" si="45"/>
        <v>0</v>
      </c>
      <c r="F139" s="37" t="s">
        <v>153</v>
      </c>
      <c r="G139" s="37"/>
      <c r="H139" s="37" t="s">
        <v>188</v>
      </c>
      <c r="I139" s="37" t="s">
        <v>264</v>
      </c>
      <c r="J139" s="38"/>
      <c r="K139" s="39"/>
      <c r="L139" s="40"/>
      <c r="M139" s="41"/>
      <c r="N139" s="42"/>
      <c r="O139" s="38"/>
      <c r="P139" s="39"/>
      <c r="Q139" s="42"/>
      <c r="R139" s="43"/>
      <c r="S139" s="44"/>
      <c r="T139" s="45"/>
      <c r="U139" s="44"/>
      <c r="V139" s="45"/>
      <c r="W139" s="44"/>
      <c r="X139" s="45"/>
      <c r="Y139" s="120"/>
      <c r="Z139" s="45"/>
      <c r="AA139" s="44"/>
      <c r="AB139" s="78"/>
      <c r="AC139" s="82"/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/>
      <c r="AO139" s="41"/>
      <c r="AP139" s="40"/>
      <c r="AQ139" s="41"/>
      <c r="AR139" s="40"/>
      <c r="AS139" s="41"/>
      <c r="AT139" s="40"/>
      <c r="AU139" s="41"/>
      <c r="AV139" s="42"/>
      <c r="AW139" s="43"/>
      <c r="AX139" s="41"/>
      <c r="AY139" s="40"/>
      <c r="AZ139" s="41"/>
      <c r="BA139" s="40"/>
      <c r="BB139" s="41"/>
      <c r="BC139" s="40"/>
      <c r="BD139" s="41"/>
      <c r="BE139" s="53"/>
      <c r="BF139" s="43"/>
      <c r="BG139" s="41"/>
      <c r="BH139" s="40"/>
      <c r="BI139" s="41"/>
      <c r="BJ139" s="40"/>
      <c r="BK139" s="41"/>
      <c r="BL139" s="40"/>
      <c r="BM139" s="41"/>
      <c r="BN139" s="40"/>
      <c r="BO139" s="41"/>
      <c r="BP139" s="53"/>
      <c r="BQ139" s="43"/>
      <c r="BR139" s="41"/>
      <c r="BS139" s="40"/>
      <c r="BT139" s="41"/>
      <c r="BU139" s="40"/>
      <c r="BV139" s="41"/>
      <c r="BW139" s="40"/>
      <c r="BX139" s="41"/>
      <c r="BY139" s="53"/>
      <c r="BZ139" s="43"/>
      <c r="CA139" s="106"/>
      <c r="CB139" s="102"/>
      <c r="CC139" s="41"/>
      <c r="CD139" s="40"/>
      <c r="CE139" s="41"/>
      <c r="CF139" s="40"/>
      <c r="CG139" s="41"/>
      <c r="CH139" s="40"/>
      <c r="CI139" s="41"/>
      <c r="CJ139" s="53"/>
      <c r="CK139" s="43"/>
      <c r="CL139" s="41"/>
      <c r="CM139" s="40"/>
      <c r="CN139" s="41"/>
      <c r="CO139" s="40"/>
      <c r="CP139" s="41"/>
      <c r="CQ139" s="40"/>
      <c r="CR139" s="41"/>
      <c r="CS139" s="53"/>
      <c r="CT139" s="43"/>
      <c r="CU139" s="41"/>
      <c r="CV139" s="40"/>
      <c r="CW139" s="41"/>
      <c r="CX139" s="40"/>
      <c r="CY139" s="40"/>
      <c r="CZ139" s="40"/>
      <c r="DA139" s="86"/>
      <c r="DB139" s="88"/>
      <c r="DC139" s="43">
        <f t="shared" si="58"/>
        <v>0</v>
      </c>
      <c r="DD139" s="41"/>
      <c r="DE139" s="40"/>
      <c r="DF139" s="41"/>
      <c r="DG139" s="40"/>
      <c r="DH139" s="41"/>
      <c r="DI139" s="40"/>
      <c r="DJ139" s="41"/>
      <c r="DK139" s="42"/>
    </row>
    <row r="140" spans="1:115" s="1" customFormat="1" ht="15" hidden="1" customHeight="1" x14ac:dyDescent="0.3">
      <c r="A140" s="2"/>
      <c r="B140" s="14">
        <v>7401</v>
      </c>
      <c r="C140" s="5" t="s">
        <v>86</v>
      </c>
      <c r="D140" s="15">
        <v>2009</v>
      </c>
      <c r="E140" s="16">
        <f t="shared" si="45"/>
        <v>0</v>
      </c>
      <c r="F140" s="37"/>
      <c r="G140" s="37"/>
      <c r="H140" s="37"/>
      <c r="I140" s="37"/>
      <c r="J140" s="38"/>
      <c r="K140" s="39"/>
      <c r="L140" s="40"/>
      <c r="M140" s="41"/>
      <c r="N140" s="42"/>
      <c r="O140" s="38"/>
      <c r="P140" s="39"/>
      <c r="Q140" s="42"/>
      <c r="R140" s="43"/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/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/>
      <c r="AO140" s="41"/>
      <c r="AP140" s="40"/>
      <c r="AQ140" s="41"/>
      <c r="AR140" s="40"/>
      <c r="AS140" s="41"/>
      <c r="AT140" s="40"/>
      <c r="AU140" s="41"/>
      <c r="AV140" s="42"/>
      <c r="AW140" s="43"/>
      <c r="AX140" s="41"/>
      <c r="AY140" s="40"/>
      <c r="AZ140" s="41"/>
      <c r="BA140" s="40"/>
      <c r="BB140" s="41"/>
      <c r="BC140" s="40"/>
      <c r="BD140" s="41"/>
      <c r="BE140" s="42"/>
      <c r="BF140" s="43"/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/>
      <c r="BR140" s="41"/>
      <c r="BS140" s="40"/>
      <c r="BT140" s="41"/>
      <c r="BU140" s="40"/>
      <c r="BV140" s="41"/>
      <c r="BW140" s="40"/>
      <c r="BX140" s="41"/>
      <c r="BY140" s="42"/>
      <c r="BZ140" s="43"/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/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>
        <f t="shared" si="58"/>
        <v>0</v>
      </c>
      <c r="DD140" s="41"/>
      <c r="DE140" s="40"/>
      <c r="DF140" s="41"/>
      <c r="DG140" s="40"/>
      <c r="DH140" s="41"/>
      <c r="DI140" s="40"/>
      <c r="DJ140" s="41"/>
      <c r="DK140" s="42"/>
    </row>
    <row r="141" spans="1:115" s="1" customFormat="1" ht="15" hidden="1" customHeight="1" x14ac:dyDescent="0.3">
      <c r="A141" s="2">
        <f t="shared" si="46"/>
        <v>1</v>
      </c>
      <c r="B141" s="14">
        <v>556</v>
      </c>
      <c r="C141" s="5" t="s">
        <v>266</v>
      </c>
      <c r="D141" s="15">
        <v>2012</v>
      </c>
      <c r="E141" s="16">
        <f t="shared" si="45"/>
        <v>0</v>
      </c>
      <c r="F141" s="37" t="s">
        <v>156</v>
      </c>
      <c r="G141" s="37"/>
      <c r="H141" s="37" t="s">
        <v>267</v>
      </c>
      <c r="I141" s="37"/>
      <c r="J141" s="38">
        <f>L141+N141</f>
        <v>0</v>
      </c>
      <c r="K141" s="39"/>
      <c r="L141" s="40"/>
      <c r="M141" s="41"/>
      <c r="N141" s="42"/>
      <c r="O141" s="38">
        <f>Q141</f>
        <v>0</v>
      </c>
      <c r="P141" s="39"/>
      <c r="Q141" s="42"/>
      <c r="R141" s="43">
        <f>T141+V141+X141+Z141+AB141</f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>AE141+AG141+AI141+AK141+AM141</f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>
        <f>AP141+AR141+AT141+AV141</f>
        <v>0</v>
      </c>
      <c r="AO141" s="41"/>
      <c r="AP141" s="40"/>
      <c r="AQ141" s="41"/>
      <c r="AR141" s="40"/>
      <c r="AS141" s="41"/>
      <c r="AT141" s="40"/>
      <c r="AU141" s="41"/>
      <c r="AV141" s="42"/>
      <c r="AW141" s="43">
        <f>AY141+BA141+BC141+BE141</f>
        <v>0</v>
      </c>
      <c r="AX141" s="41"/>
      <c r="AY141" s="40"/>
      <c r="AZ141" s="41"/>
      <c r="BA141" s="40"/>
      <c r="BB141" s="41"/>
      <c r="BC141" s="40"/>
      <c r="BD141" s="41"/>
      <c r="BE141" s="42"/>
      <c r="BF141" s="43">
        <f>BH141+BJ141+BL141+BN141+BP141</f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>
        <f>BS141+BU141+BW141+BY141</f>
        <v>0</v>
      </c>
      <c r="BR141" s="41"/>
      <c r="BS141" s="40"/>
      <c r="BT141" s="41"/>
      <c r="BU141" s="40"/>
      <c r="BV141" s="41"/>
      <c r="BW141" s="40"/>
      <c r="BX141" s="41"/>
      <c r="BY141" s="42"/>
      <c r="BZ141" s="43">
        <f>CB141+CD141+CF141+CH141+CJ141</f>
        <v>0</v>
      </c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>
        <f>CM141+CO141+CQ141+CS141</f>
        <v>0</v>
      </c>
      <c r="CL141" s="41"/>
      <c r="CM141" s="40"/>
      <c r="CN141" s="41"/>
      <c r="CO141" s="40"/>
      <c r="CP141" s="41"/>
      <c r="CQ141" s="40"/>
      <c r="CR141" s="41"/>
      <c r="CS141" s="42"/>
      <c r="CT141" s="43">
        <f>CV141+CX141+CZ141</f>
        <v>0</v>
      </c>
      <c r="CU141" s="41"/>
      <c r="CV141" s="40"/>
      <c r="CW141" s="41"/>
      <c r="CX141" s="40"/>
      <c r="CY141" s="40"/>
      <c r="CZ141" s="40"/>
      <c r="DA141" s="35">
        <v>5</v>
      </c>
      <c r="DB141" s="89" t="s">
        <v>110</v>
      </c>
      <c r="DC141" s="43">
        <f t="shared" si="58"/>
        <v>0</v>
      </c>
      <c r="DD141" s="41"/>
      <c r="DE141" s="40"/>
      <c r="DF141" s="40"/>
      <c r="DG141" s="40"/>
      <c r="DH141" s="40"/>
      <c r="DI141" s="40"/>
      <c r="DJ141" s="41"/>
      <c r="DK141" s="53"/>
    </row>
    <row r="142" spans="1:115" s="1" customFormat="1" ht="15" hidden="1" customHeight="1" x14ac:dyDescent="0.3">
      <c r="A142" s="2"/>
      <c r="B142" s="14">
        <v>5662</v>
      </c>
      <c r="C142" s="5" t="s">
        <v>89</v>
      </c>
      <c r="D142" s="15">
        <v>2009</v>
      </c>
      <c r="E142" s="16">
        <f t="shared" si="45"/>
        <v>0</v>
      </c>
      <c r="F142" s="37" t="s">
        <v>226</v>
      </c>
      <c r="G142" s="37"/>
      <c r="H142" s="37" t="s">
        <v>227</v>
      </c>
      <c r="I142" s="37" t="s">
        <v>228</v>
      </c>
      <c r="J142" s="38"/>
      <c r="K142" s="39"/>
      <c r="L142" s="40"/>
      <c r="M142" s="41"/>
      <c r="N142" s="42"/>
      <c r="O142" s="38"/>
      <c r="P142" s="39"/>
      <c r="Q142" s="42"/>
      <c r="R142" s="43"/>
      <c r="S142" s="44"/>
      <c r="T142" s="45"/>
      <c r="U142" s="44"/>
      <c r="V142" s="45"/>
      <c r="W142" s="44"/>
      <c r="X142" s="45"/>
      <c r="Y142" s="44"/>
      <c r="Z142" s="45"/>
      <c r="AA142" s="44"/>
      <c r="AB142" s="78"/>
      <c r="AC142" s="82"/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/>
      <c r="AO142" s="41"/>
      <c r="AP142" s="40"/>
      <c r="AQ142" s="41"/>
      <c r="AR142" s="40"/>
      <c r="AS142" s="41"/>
      <c r="AT142" s="40"/>
      <c r="AU142" s="41"/>
      <c r="AV142" s="42"/>
      <c r="AW142" s="43"/>
      <c r="AX142" s="41"/>
      <c r="AY142" s="40"/>
      <c r="AZ142" s="41"/>
      <c r="BA142" s="40"/>
      <c r="BB142" s="90"/>
      <c r="BC142" s="91"/>
      <c r="BD142" s="41"/>
      <c r="BE142" s="42"/>
      <c r="BF142" s="43"/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/>
      <c r="BR142" s="41"/>
      <c r="BS142" s="40"/>
      <c r="BT142" s="41"/>
      <c r="BU142" s="40"/>
      <c r="BV142" s="41"/>
      <c r="BW142" s="40"/>
      <c r="BX142" s="41"/>
      <c r="BY142" s="42"/>
      <c r="BZ142" s="43"/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/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>
        <f t="shared" si="58"/>
        <v>0</v>
      </c>
      <c r="DD142" s="41"/>
      <c r="DE142" s="40"/>
      <c r="DF142" s="41"/>
      <c r="DG142" s="40"/>
      <c r="DH142" s="41"/>
      <c r="DI142" s="40"/>
      <c r="DJ142" s="41"/>
      <c r="DK142" s="42"/>
    </row>
    <row r="143" spans="1:115" s="1" customFormat="1" ht="15" hidden="1" customHeight="1" x14ac:dyDescent="0.3">
      <c r="A143" s="2"/>
      <c r="B143" s="14">
        <v>9220</v>
      </c>
      <c r="C143" s="5" t="s">
        <v>133</v>
      </c>
      <c r="D143" s="15">
        <v>2011</v>
      </c>
      <c r="E143" s="16">
        <f t="shared" si="45"/>
        <v>0</v>
      </c>
      <c r="F143" s="37" t="s">
        <v>158</v>
      </c>
      <c r="G143" s="37"/>
      <c r="H143" s="37" t="s">
        <v>250</v>
      </c>
      <c r="I143" s="37"/>
      <c r="J143" s="38"/>
      <c r="K143" s="39"/>
      <c r="L143" s="40"/>
      <c r="M143" s="41"/>
      <c r="N143" s="42"/>
      <c r="O143" s="38"/>
      <c r="P143" s="39"/>
      <c r="Q143" s="42"/>
      <c r="R143" s="43"/>
      <c r="S143" s="44"/>
      <c r="T143" s="45"/>
      <c r="U143" s="44"/>
      <c r="V143" s="45"/>
      <c r="W143" s="44"/>
      <c r="X143" s="45"/>
      <c r="Y143" s="44"/>
      <c r="Z143" s="45"/>
      <c r="AA143" s="44"/>
      <c r="AB143" s="78"/>
      <c r="AC143" s="82"/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/>
      <c r="AO143" s="41"/>
      <c r="AP143" s="40"/>
      <c r="AQ143" s="41"/>
      <c r="AR143" s="40"/>
      <c r="AS143" s="41"/>
      <c r="AT143" s="40"/>
      <c r="AU143" s="41"/>
      <c r="AV143" s="42"/>
      <c r="AW143" s="43"/>
      <c r="AX143" s="41"/>
      <c r="AY143" s="40"/>
      <c r="AZ143" s="41"/>
      <c r="BA143" s="40"/>
      <c r="BB143" s="41"/>
      <c r="BC143" s="40"/>
      <c r="BD143" s="41"/>
      <c r="BE143" s="42"/>
      <c r="BF143" s="43"/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/>
      <c r="BR143" s="41"/>
      <c r="BS143" s="40"/>
      <c r="BT143" s="41"/>
      <c r="BU143" s="40"/>
      <c r="BV143" s="41"/>
      <c r="BW143" s="40"/>
      <c r="BX143" s="41"/>
      <c r="BY143" s="42"/>
      <c r="BZ143" s="43"/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/>
      <c r="CL143" s="41"/>
      <c r="CM143" s="40"/>
      <c r="CN143" s="41"/>
      <c r="CO143" s="40"/>
      <c r="CP143" s="41"/>
      <c r="CQ143" s="40"/>
      <c r="CR143" s="41"/>
      <c r="CS143" s="42"/>
      <c r="CT143" s="43"/>
      <c r="CU143" s="41"/>
      <c r="CV143" s="40"/>
      <c r="CW143" s="41"/>
      <c r="CX143" s="40"/>
      <c r="CY143" s="40"/>
      <c r="CZ143" s="40"/>
      <c r="DA143" s="86"/>
      <c r="DB143" s="88"/>
      <c r="DC143" s="43">
        <f t="shared" si="58"/>
        <v>0</v>
      </c>
      <c r="DD143" s="41"/>
      <c r="DE143" s="40"/>
      <c r="DF143" s="41"/>
      <c r="DG143" s="40"/>
      <c r="DH143" s="49"/>
      <c r="DI143" s="48"/>
      <c r="DJ143" s="49"/>
      <c r="DK143" s="50"/>
    </row>
    <row r="144" spans="1:115" s="1" customFormat="1" ht="15" hidden="1" customHeight="1" x14ac:dyDescent="0.3">
      <c r="A144" s="2">
        <f t="shared" si="46"/>
        <v>1</v>
      </c>
      <c r="B144" s="14">
        <v>559</v>
      </c>
      <c r="C144" s="5" t="s">
        <v>268</v>
      </c>
      <c r="D144" s="15">
        <v>2012</v>
      </c>
      <c r="E144" s="16">
        <f t="shared" si="45"/>
        <v>0</v>
      </c>
      <c r="F144" s="37" t="s">
        <v>156</v>
      </c>
      <c r="G144" s="37"/>
      <c r="H144" s="37" t="s">
        <v>267</v>
      </c>
      <c r="I144" s="37"/>
      <c r="J144" s="38">
        <f>L144+N144</f>
        <v>0</v>
      </c>
      <c r="K144" s="39"/>
      <c r="L144" s="40"/>
      <c r="M144" s="41"/>
      <c r="N144" s="42"/>
      <c r="O144" s="38">
        <f>Q144</f>
        <v>0</v>
      </c>
      <c r="P144" s="39"/>
      <c r="Q144" s="42"/>
      <c r="R144" s="43">
        <f>T144+V144+X144+Z144+AB144</f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>
        <f>AE144+AG144+AI144+AK144+AM144</f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>
        <f>AP144+AR144+AT144+AV144</f>
        <v>0</v>
      </c>
      <c r="AO144" s="41"/>
      <c r="AP144" s="40"/>
      <c r="AQ144" s="41"/>
      <c r="AR144" s="40"/>
      <c r="AS144" s="41"/>
      <c r="AT144" s="40"/>
      <c r="AU144" s="41"/>
      <c r="AV144" s="42"/>
      <c r="AW144" s="43">
        <f>AY144+BA144+BC144+BE144</f>
        <v>0</v>
      </c>
      <c r="AX144" s="41"/>
      <c r="AY144" s="40"/>
      <c r="AZ144" s="41"/>
      <c r="BA144" s="40"/>
      <c r="BB144" s="41"/>
      <c r="BC144" s="40"/>
      <c r="BD144" s="41"/>
      <c r="BE144" s="42"/>
      <c r="BF144" s="43">
        <f>BH144+BJ144+BL144+BN144+BP144</f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>
        <f>BS144+BU144+BW144+BY144</f>
        <v>0</v>
      </c>
      <c r="BR144" s="41"/>
      <c r="BS144" s="40"/>
      <c r="BT144" s="41"/>
      <c r="BU144" s="40"/>
      <c r="BV144" s="41"/>
      <c r="BW144" s="40"/>
      <c r="BX144" s="41"/>
      <c r="BY144" s="42"/>
      <c r="BZ144" s="43">
        <f>CB144+CD144+CF144+CH144+CJ144</f>
        <v>0</v>
      </c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>
        <f>CM144+CO144+CQ144+CS144</f>
        <v>0</v>
      </c>
      <c r="CL144" s="41"/>
      <c r="CM144" s="40"/>
      <c r="CN144" s="41"/>
      <c r="CO144" s="40"/>
      <c r="CP144" s="41"/>
      <c r="CQ144" s="40"/>
      <c r="CR144" s="41"/>
      <c r="CS144" s="42"/>
      <c r="CT144" s="43">
        <f>CV144+CX144+CZ144</f>
        <v>0</v>
      </c>
      <c r="CU144" s="41"/>
      <c r="CV144" s="40"/>
      <c r="CW144" s="41"/>
      <c r="CX144" s="40"/>
      <c r="CY144" s="40"/>
      <c r="CZ144" s="40"/>
      <c r="DA144" s="35">
        <v>5</v>
      </c>
      <c r="DB144" s="89" t="s">
        <v>110</v>
      </c>
      <c r="DC144" s="43">
        <f t="shared" si="58"/>
        <v>0</v>
      </c>
      <c r="DD144" s="41"/>
      <c r="DE144" s="40"/>
      <c r="DF144" s="40"/>
      <c r="DG144" s="40"/>
      <c r="DH144" s="40"/>
      <c r="DI144" s="40"/>
      <c r="DJ144" s="41"/>
      <c r="DK144" s="53"/>
    </row>
    <row r="145" spans="1:115" s="1" customFormat="1" ht="15" hidden="1" customHeight="1" x14ac:dyDescent="0.3">
      <c r="A145" s="2"/>
      <c r="B145" s="14">
        <v>9743</v>
      </c>
      <c r="C145" s="5" t="s">
        <v>140</v>
      </c>
      <c r="D145" s="15">
        <v>2011</v>
      </c>
      <c r="E145" s="16">
        <f t="shared" ref="E145:E170" si="59">J145+O145+R145+AC145+AN145+AW145+BF145+BQ145+BZ145+CK145+CT145+DC145</f>
        <v>0</v>
      </c>
      <c r="F145" s="16"/>
      <c r="G145" s="54"/>
      <c r="H145" s="16"/>
      <c r="I145" s="16"/>
      <c r="J145" s="38"/>
      <c r="K145" s="39"/>
      <c r="L145" s="40"/>
      <c r="M145" s="41"/>
      <c r="N145" s="42"/>
      <c r="O145" s="38"/>
      <c r="P145" s="39"/>
      <c r="Q145" s="42"/>
      <c r="R145" s="43"/>
      <c r="S145" s="44"/>
      <c r="T145" s="45"/>
      <c r="U145" s="44"/>
      <c r="V145" s="45"/>
      <c r="W145" s="44"/>
      <c r="X145" s="45"/>
      <c r="Y145" s="120"/>
      <c r="Z145" s="45"/>
      <c r="AA145" s="44"/>
      <c r="AB145" s="78"/>
      <c r="AC145" s="82"/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/>
      <c r="AO145" s="41"/>
      <c r="AP145" s="40"/>
      <c r="AQ145" s="41"/>
      <c r="AR145" s="40"/>
      <c r="AS145" s="41"/>
      <c r="AT145" s="40"/>
      <c r="AU145" s="41"/>
      <c r="AV145" s="42"/>
      <c r="AW145" s="43"/>
      <c r="AX145" s="41"/>
      <c r="AY145" s="40"/>
      <c r="AZ145" s="41"/>
      <c r="BA145" s="40"/>
      <c r="BB145" s="41"/>
      <c r="BC145" s="40"/>
      <c r="BD145" s="41"/>
      <c r="BE145" s="42"/>
      <c r="BF145" s="43"/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/>
      <c r="BR145" s="41"/>
      <c r="BS145" s="40"/>
      <c r="BT145" s="41"/>
      <c r="BU145" s="40"/>
      <c r="BV145" s="41"/>
      <c r="BW145" s="40"/>
      <c r="BX145" s="41"/>
      <c r="BY145" s="42"/>
      <c r="BZ145" s="43"/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/>
      <c r="CL145" s="41"/>
      <c r="CM145" s="40"/>
      <c r="CN145" s="41"/>
      <c r="CO145" s="40"/>
      <c r="CP145" s="41"/>
      <c r="CQ145" s="40"/>
      <c r="CR145" s="41"/>
      <c r="CS145" s="42"/>
      <c r="CT145" s="43"/>
      <c r="CU145" s="41"/>
      <c r="CV145" s="40"/>
      <c r="CW145" s="41"/>
      <c r="CX145" s="40"/>
      <c r="CY145" s="40"/>
      <c r="CZ145" s="40"/>
      <c r="DA145" s="41"/>
      <c r="DB145" s="42"/>
      <c r="DC145" s="43">
        <f t="shared" si="58"/>
        <v>0</v>
      </c>
      <c r="DD145" s="41"/>
      <c r="DE145" s="40"/>
      <c r="DF145" s="41"/>
      <c r="DG145" s="40"/>
      <c r="DH145" s="41"/>
      <c r="DI145" s="40"/>
      <c r="DJ145" s="41"/>
      <c r="DK145" s="42"/>
    </row>
    <row r="146" spans="1:115" s="1" customFormat="1" ht="15" hidden="1" customHeight="1" x14ac:dyDescent="0.3">
      <c r="A146" s="2">
        <f t="shared" si="46"/>
        <v>1</v>
      </c>
      <c r="B146" s="14">
        <v>5963</v>
      </c>
      <c r="C146" s="5" t="s">
        <v>44</v>
      </c>
      <c r="D146" s="15">
        <v>2006</v>
      </c>
      <c r="E146" s="16">
        <f t="shared" si="59"/>
        <v>0</v>
      </c>
      <c r="F146" s="37" t="s">
        <v>153</v>
      </c>
      <c r="G146" s="37"/>
      <c r="H146" s="37" t="s">
        <v>163</v>
      </c>
      <c r="I146" s="37" t="s">
        <v>204</v>
      </c>
      <c r="J146" s="38">
        <f>L146+N146</f>
        <v>0</v>
      </c>
      <c r="K146" s="39"/>
      <c r="L146" s="40"/>
      <c r="M146" s="41"/>
      <c r="N146" s="42"/>
      <c r="O146" s="38">
        <f>Q146</f>
        <v>0</v>
      </c>
      <c r="P146" s="39"/>
      <c r="Q146" s="42"/>
      <c r="R146" s="43">
        <f>T146+V146+Z146+AB146</f>
        <v>0</v>
      </c>
      <c r="S146" s="44"/>
      <c r="T146" s="45"/>
      <c r="U146" s="44"/>
      <c r="V146" s="45"/>
      <c r="W146" s="31">
        <v>8</v>
      </c>
      <c r="X146" s="31" t="s">
        <v>110</v>
      </c>
      <c r="Y146" s="44"/>
      <c r="Z146" s="45"/>
      <c r="AA146" s="44"/>
      <c r="AB146" s="78"/>
      <c r="AC146" s="82">
        <f>AE146+AG146+AI146+AK146+AM146</f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>AP146+AR146</f>
        <v>0</v>
      </c>
      <c r="AO146" s="41"/>
      <c r="AP146" s="40"/>
      <c r="AQ146" s="41"/>
      <c r="AR146" s="40"/>
      <c r="AS146" s="35">
        <v>6</v>
      </c>
      <c r="AT146" s="35" t="s">
        <v>110</v>
      </c>
      <c r="AU146" s="35">
        <v>8</v>
      </c>
      <c r="AV146" s="89" t="s">
        <v>110</v>
      </c>
      <c r="AW146" s="43">
        <f>AY146+BA146+BC146+BE146</f>
        <v>0</v>
      </c>
      <c r="AX146" s="41"/>
      <c r="AY146" s="40"/>
      <c r="AZ146" s="41"/>
      <c r="BA146" s="40"/>
      <c r="BB146" s="41"/>
      <c r="BC146" s="40"/>
      <c r="BD146" s="41"/>
      <c r="BE146" s="42"/>
      <c r="BF146" s="43">
        <f>BH146+BJ146+BL146+BN146+BP146</f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>BS146+BU146+BW146+BY146</f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>CB146+CD146+CF146+CH146+CJ146</f>
        <v>0</v>
      </c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>
        <f>CM146+CO146+CQ146+CS146</f>
        <v>0</v>
      </c>
      <c r="CL146" s="41"/>
      <c r="CM146" s="40"/>
      <c r="CN146" s="41"/>
      <c r="CO146" s="40"/>
      <c r="CP146" s="41"/>
      <c r="CQ146" s="40"/>
      <c r="CR146" s="41"/>
      <c r="CS146" s="42"/>
      <c r="CT146" s="43">
        <f>CV146+CX146+CZ146+DB146</f>
        <v>0</v>
      </c>
      <c r="CU146" s="41"/>
      <c r="CV146" s="40"/>
      <c r="CW146" s="40"/>
      <c r="CX146" s="40"/>
      <c r="CY146" s="40"/>
      <c r="CZ146" s="40"/>
      <c r="DA146" s="41"/>
      <c r="DB146" s="42"/>
      <c r="DC146" s="43">
        <f t="shared" si="58"/>
        <v>0</v>
      </c>
      <c r="DD146" s="41"/>
      <c r="DE146" s="40"/>
      <c r="DF146" s="40"/>
      <c r="DG146" s="40"/>
      <c r="DH146" s="40"/>
      <c r="DI146" s="40"/>
      <c r="DJ146" s="41"/>
      <c r="DK146" s="42"/>
    </row>
    <row r="147" spans="1:115" s="1" customFormat="1" ht="15" hidden="1" customHeight="1" x14ac:dyDescent="0.3">
      <c r="A147" s="2">
        <f t="shared" si="46"/>
        <v>2</v>
      </c>
      <c r="B147" s="14">
        <v>6240</v>
      </c>
      <c r="C147" s="5" t="s">
        <v>66</v>
      </c>
      <c r="D147" s="15">
        <v>2007</v>
      </c>
      <c r="E147" s="16">
        <f t="shared" si="59"/>
        <v>0</v>
      </c>
      <c r="F147" s="37"/>
      <c r="G147" s="37"/>
      <c r="H147" s="37"/>
      <c r="I147" s="37"/>
      <c r="J147" s="38">
        <f>L147+N147</f>
        <v>0</v>
      </c>
      <c r="K147" s="39"/>
      <c r="L147" s="40"/>
      <c r="M147" s="41"/>
      <c r="N147" s="42"/>
      <c r="O147" s="38">
        <f>Q147</f>
        <v>0</v>
      </c>
      <c r="P147" s="39"/>
      <c r="Q147" s="42"/>
      <c r="R147" s="43">
        <f>T147+V147+X147+Z147+AB147</f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>AE147+AG147+AI147+AK147+AM147</f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>
        <f>AP147+AR147+AT147+AV147</f>
        <v>0</v>
      </c>
      <c r="AO147" s="41"/>
      <c r="AP147" s="40"/>
      <c r="AQ147" s="41"/>
      <c r="AR147" s="40"/>
      <c r="AS147" s="41"/>
      <c r="AT147" s="40"/>
      <c r="AU147" s="41"/>
      <c r="AV147" s="42"/>
      <c r="AW147" s="43">
        <f>AY147+BA147+BC147+BE147</f>
        <v>0</v>
      </c>
      <c r="AX147" s="41"/>
      <c r="AY147" s="40"/>
      <c r="AZ147" s="41"/>
      <c r="BA147" s="40"/>
      <c r="BB147" s="41"/>
      <c r="BC147" s="40"/>
      <c r="BD147" s="41"/>
      <c r="BE147" s="42"/>
      <c r="BF147" s="43">
        <f>BH147+BJ147+BL147+BN147+BP147</f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>
        <f>BS147+BU147+BW147+BY147</f>
        <v>0</v>
      </c>
      <c r="BR147" s="41"/>
      <c r="BS147" s="40"/>
      <c r="BT147" s="41"/>
      <c r="BU147" s="40"/>
      <c r="BV147" s="41"/>
      <c r="BW147" s="40"/>
      <c r="BX147" s="41"/>
      <c r="BY147" s="42"/>
      <c r="BZ147" s="43">
        <f>CB147+CD147+CF147+CH147+CJ147</f>
        <v>0</v>
      </c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>
        <f>CM147+CO147+CQ147+CS147</f>
        <v>0</v>
      </c>
      <c r="CL147" s="41"/>
      <c r="CM147" s="40"/>
      <c r="CN147" s="41"/>
      <c r="CO147" s="40"/>
      <c r="CP147" s="41"/>
      <c r="CQ147" s="40"/>
      <c r="CR147" s="41"/>
      <c r="CS147" s="42"/>
      <c r="CT147" s="43">
        <f>CV147+CX147+CZ147+DB147</f>
        <v>0</v>
      </c>
      <c r="CU147" s="41"/>
      <c r="CV147" s="40"/>
      <c r="CW147" s="40"/>
      <c r="CX147" s="40"/>
      <c r="CY147" s="40"/>
      <c r="CZ147" s="40"/>
      <c r="DA147" s="41"/>
      <c r="DB147" s="42"/>
      <c r="DC147" s="43">
        <f t="shared" si="58"/>
        <v>0</v>
      </c>
      <c r="DD147" s="41"/>
      <c r="DE147" s="40"/>
      <c r="DF147" s="40"/>
      <c r="DG147" s="40"/>
      <c r="DH147" s="40"/>
      <c r="DI147" s="40"/>
      <c r="DJ147" s="41"/>
      <c r="DK147" s="42"/>
    </row>
    <row r="148" spans="1:115" s="1" customFormat="1" ht="15" hidden="1" customHeight="1" x14ac:dyDescent="0.3">
      <c r="A148" s="2"/>
      <c r="B148" s="14">
        <v>9632</v>
      </c>
      <c r="C148" s="5" t="s">
        <v>137</v>
      </c>
      <c r="D148" s="15">
        <v>2010</v>
      </c>
      <c r="E148" s="16">
        <f t="shared" si="59"/>
        <v>0</v>
      </c>
      <c r="F148" s="37"/>
      <c r="G148" s="37"/>
      <c r="H148" s="37"/>
      <c r="I148" s="37"/>
      <c r="J148" s="38"/>
      <c r="K148" s="39"/>
      <c r="L148" s="40"/>
      <c r="M148" s="41"/>
      <c r="N148" s="42"/>
      <c r="O148" s="38"/>
      <c r="P148" s="39"/>
      <c r="Q148" s="42"/>
      <c r="R148" s="43"/>
      <c r="S148" s="44"/>
      <c r="T148" s="45"/>
      <c r="U148" s="44"/>
      <c r="V148" s="45"/>
      <c r="W148" s="44"/>
      <c r="X148" s="45"/>
      <c r="Y148" s="44"/>
      <c r="Z148" s="45"/>
      <c r="AA148" s="44"/>
      <c r="AB148" s="78"/>
      <c r="AC148" s="82"/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/>
      <c r="AO148" s="41"/>
      <c r="AP148" s="40"/>
      <c r="AQ148" s="41"/>
      <c r="AR148" s="40"/>
      <c r="AS148" s="41"/>
      <c r="AT148" s="40"/>
      <c r="AU148" s="41"/>
      <c r="AV148" s="42"/>
      <c r="AW148" s="43"/>
      <c r="AX148" s="41"/>
      <c r="AY148" s="40"/>
      <c r="AZ148" s="41"/>
      <c r="BA148" s="40"/>
      <c r="BB148" s="41"/>
      <c r="BC148" s="40"/>
      <c r="BD148" s="41"/>
      <c r="BE148" s="42"/>
      <c r="BF148" s="43"/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/>
      <c r="BR148" s="41"/>
      <c r="BS148" s="40"/>
      <c r="BT148" s="41"/>
      <c r="BU148" s="40"/>
      <c r="BV148" s="41"/>
      <c r="BW148" s="40"/>
      <c r="BX148" s="41"/>
      <c r="BY148" s="42"/>
      <c r="BZ148" s="43"/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43"/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>
        <f t="shared" si="58"/>
        <v>0</v>
      </c>
      <c r="DD148" s="41"/>
      <c r="DE148" s="40"/>
      <c r="DF148" s="41"/>
      <c r="DG148" s="40"/>
      <c r="DH148" s="41"/>
      <c r="DI148" s="40"/>
      <c r="DJ148" s="41"/>
      <c r="DK148" s="42"/>
    </row>
    <row r="149" spans="1:115" s="1" customFormat="1" ht="15" hidden="1" customHeight="1" x14ac:dyDescent="0.3">
      <c r="A149" s="2">
        <f t="shared" si="46"/>
        <v>1</v>
      </c>
      <c r="B149" s="14">
        <v>7147</v>
      </c>
      <c r="C149" s="5" t="s">
        <v>68</v>
      </c>
      <c r="D149" s="15">
        <v>2007</v>
      </c>
      <c r="E149" s="16">
        <f t="shared" si="59"/>
        <v>0</v>
      </c>
      <c r="F149" s="37"/>
      <c r="G149" s="37"/>
      <c r="H149" s="37"/>
      <c r="I149" s="37"/>
      <c r="J149" s="38">
        <f t="shared" ref="J149:J155" si="60">L149+N149</f>
        <v>0</v>
      </c>
      <c r="K149" s="39"/>
      <c r="L149" s="40"/>
      <c r="M149" s="41"/>
      <c r="N149" s="42"/>
      <c r="O149" s="38">
        <f t="shared" ref="O149:O155" si="61">Q149</f>
        <v>0</v>
      </c>
      <c r="P149" s="39"/>
      <c r="Q149" s="42"/>
      <c r="R149" s="43">
        <f t="shared" ref="R149:R155" si="62">T149+V149+X149+Z149+AB149</f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ref="AC149:AC155" si="63">AE149+AG149+AI149+AK149+AM149</f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 t="shared" ref="AN149:AN155" si="64">AP149+AR149+AT149+AV149</f>
        <v>0</v>
      </c>
      <c r="AO149" s="41"/>
      <c r="AP149" s="40"/>
      <c r="AQ149" s="41"/>
      <c r="AR149" s="40"/>
      <c r="AS149" s="41"/>
      <c r="AT149" s="40"/>
      <c r="AU149" s="41"/>
      <c r="AV149" s="42"/>
      <c r="AW149" s="43">
        <f t="shared" ref="AW149:AW155" si="65">AY149+BA149+BC149+BE149</f>
        <v>0</v>
      </c>
      <c r="AX149" s="41"/>
      <c r="AY149" s="40"/>
      <c r="AZ149" s="41"/>
      <c r="BA149" s="40"/>
      <c r="BB149" s="41"/>
      <c r="BC149" s="40"/>
      <c r="BD149" s="41"/>
      <c r="BE149" s="42"/>
      <c r="BF149" s="43">
        <f>BH149+BJ149+BL149+BN149+BP149</f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 t="shared" ref="BQ149:BQ155" si="66">BS149+BU149+BW149+BY149</f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 t="shared" ref="BZ149:BZ155" si="67">CB149+CD149+CF149+CH149+CJ149</f>
        <v>0</v>
      </c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>
        <f t="shared" ref="CK149:CK155" si="68">CM149+CO149+CQ149+CS149</f>
        <v>0</v>
      </c>
      <c r="CL149" s="41"/>
      <c r="CM149" s="40"/>
      <c r="CN149" s="41"/>
      <c r="CO149" s="40"/>
      <c r="CP149" s="41"/>
      <c r="CQ149" s="40"/>
      <c r="CR149" s="41"/>
      <c r="CS149" s="42"/>
      <c r="CT149" s="43">
        <f>CV149+CX149+CZ149+DB149</f>
        <v>0</v>
      </c>
      <c r="CU149" s="41"/>
      <c r="CV149" s="40"/>
      <c r="CW149" s="40"/>
      <c r="CX149" s="40"/>
      <c r="CY149" s="40"/>
      <c r="CZ149" s="40"/>
      <c r="DA149" s="41"/>
      <c r="DB149" s="42"/>
      <c r="DC149" s="43">
        <f t="shared" si="58"/>
        <v>0</v>
      </c>
      <c r="DD149" s="41"/>
      <c r="DE149" s="40"/>
      <c r="DF149" s="40"/>
      <c r="DG149" s="40"/>
      <c r="DH149" s="40"/>
      <c r="DI149" s="40"/>
      <c r="DJ149" s="41"/>
      <c r="DK149" s="42"/>
    </row>
    <row r="150" spans="1:115" s="1" customFormat="1" ht="15" hidden="1" customHeight="1" x14ac:dyDescent="0.3">
      <c r="A150" s="2">
        <f t="shared" si="46"/>
        <v>2</v>
      </c>
      <c r="B150" s="14">
        <v>6443</v>
      </c>
      <c r="C150" s="5" t="s">
        <v>57</v>
      </c>
      <c r="D150" s="15">
        <v>2008</v>
      </c>
      <c r="E150" s="16">
        <f t="shared" si="59"/>
        <v>0</v>
      </c>
      <c r="F150" s="37"/>
      <c r="G150" s="37"/>
      <c r="H150" s="37"/>
      <c r="I150" s="37"/>
      <c r="J150" s="38">
        <f t="shared" si="60"/>
        <v>0</v>
      </c>
      <c r="K150" s="39"/>
      <c r="L150" s="40"/>
      <c r="M150" s="41"/>
      <c r="N150" s="42"/>
      <c r="O150" s="38">
        <f t="shared" si="61"/>
        <v>0</v>
      </c>
      <c r="P150" s="39"/>
      <c r="Q150" s="42"/>
      <c r="R150" s="43">
        <f t="shared" si="62"/>
        <v>0</v>
      </c>
      <c r="S150" s="44"/>
      <c r="T150" s="45"/>
      <c r="U150" s="44"/>
      <c r="V150" s="45"/>
      <c r="W150" s="44"/>
      <c r="X150" s="45"/>
      <c r="Y150" s="44"/>
      <c r="Z150" s="45"/>
      <c r="AA150" s="44"/>
      <c r="AB150" s="78"/>
      <c r="AC150" s="82">
        <f t="shared" si="63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>
        <f t="shared" si="64"/>
        <v>0</v>
      </c>
      <c r="AO150" s="41"/>
      <c r="AP150" s="40"/>
      <c r="AQ150" s="41"/>
      <c r="AR150" s="40"/>
      <c r="AS150" s="41"/>
      <c r="AT150" s="40"/>
      <c r="AU150" s="41"/>
      <c r="AV150" s="42"/>
      <c r="AW150" s="43">
        <f t="shared" si="65"/>
        <v>0</v>
      </c>
      <c r="AX150" s="41"/>
      <c r="AY150" s="40"/>
      <c r="AZ150" s="41"/>
      <c r="BA150" s="40"/>
      <c r="BB150" s="41"/>
      <c r="BC150" s="40"/>
      <c r="BD150" s="41"/>
      <c r="BE150" s="42"/>
      <c r="BF150" s="43">
        <f>BH150+BJ150+BL150+BN150+BP150</f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>
        <f t="shared" si="66"/>
        <v>0</v>
      </c>
      <c r="BR150" s="41"/>
      <c r="BS150" s="40"/>
      <c r="BT150" s="41"/>
      <c r="BU150" s="40"/>
      <c r="BV150" s="41"/>
      <c r="BW150" s="40"/>
      <c r="BX150" s="41"/>
      <c r="BY150" s="42"/>
      <c r="BZ150" s="43">
        <f t="shared" si="67"/>
        <v>0</v>
      </c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>
        <f t="shared" si="68"/>
        <v>0</v>
      </c>
      <c r="CL150" s="41"/>
      <c r="CM150" s="40"/>
      <c r="CN150" s="41"/>
      <c r="CO150" s="40"/>
      <c r="CP150" s="41"/>
      <c r="CQ150" s="40"/>
      <c r="CR150" s="41"/>
      <c r="CS150" s="42"/>
      <c r="CT150" s="43">
        <f>CV150+CX150+CZ150+DB150</f>
        <v>0</v>
      </c>
      <c r="CU150" s="41"/>
      <c r="CV150" s="40"/>
      <c r="CW150" s="40"/>
      <c r="CX150" s="40"/>
      <c r="CY150" s="40"/>
      <c r="CZ150" s="40"/>
      <c r="DA150" s="41"/>
      <c r="DB150" s="42"/>
      <c r="DC150" s="43">
        <f t="shared" si="58"/>
        <v>0</v>
      </c>
      <c r="DD150" s="41"/>
      <c r="DE150" s="40"/>
      <c r="DF150" s="40"/>
      <c r="DG150" s="40"/>
      <c r="DH150" s="40"/>
      <c r="DI150" s="40"/>
      <c r="DJ150" s="41"/>
      <c r="DK150" s="42"/>
    </row>
    <row r="151" spans="1:115" s="1" customFormat="1" ht="15" hidden="1" customHeight="1" x14ac:dyDescent="0.3">
      <c r="A151" s="2">
        <f t="shared" si="46"/>
        <v>3</v>
      </c>
      <c r="B151" s="14">
        <v>7376</v>
      </c>
      <c r="C151" s="5" t="s">
        <v>77</v>
      </c>
      <c r="D151" s="15">
        <v>2007</v>
      </c>
      <c r="E151" s="16">
        <f t="shared" si="59"/>
        <v>0</v>
      </c>
      <c r="F151" s="37"/>
      <c r="G151" s="37"/>
      <c r="H151" s="37"/>
      <c r="I151" s="37"/>
      <c r="J151" s="38">
        <f t="shared" si="60"/>
        <v>0</v>
      </c>
      <c r="K151" s="39"/>
      <c r="L151" s="40"/>
      <c r="M151" s="41"/>
      <c r="N151" s="42"/>
      <c r="O151" s="38">
        <f t="shared" si="61"/>
        <v>0</v>
      </c>
      <c r="P151" s="39"/>
      <c r="Q151" s="42"/>
      <c r="R151" s="43">
        <f t="shared" si="62"/>
        <v>0</v>
      </c>
      <c r="S151" s="44"/>
      <c r="T151" s="45"/>
      <c r="U151" s="44"/>
      <c r="V151" s="45"/>
      <c r="W151" s="44"/>
      <c r="X151" s="45"/>
      <c r="Y151" s="44"/>
      <c r="Z151" s="45"/>
      <c r="AA151" s="44"/>
      <c r="AB151" s="78"/>
      <c r="AC151" s="82">
        <f t="shared" si="63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>
        <f t="shared" si="64"/>
        <v>0</v>
      </c>
      <c r="AO151" s="41"/>
      <c r="AP151" s="40"/>
      <c r="AQ151" s="41"/>
      <c r="AR151" s="40"/>
      <c r="AS151" s="41"/>
      <c r="AT151" s="40"/>
      <c r="AU151" s="41"/>
      <c r="AV151" s="42"/>
      <c r="AW151" s="43">
        <f t="shared" si="65"/>
        <v>0</v>
      </c>
      <c r="AX151" s="41"/>
      <c r="AY151" s="40"/>
      <c r="AZ151" s="41"/>
      <c r="BA151" s="40"/>
      <c r="BB151" s="41"/>
      <c r="BC151" s="40"/>
      <c r="BD151" s="41"/>
      <c r="BE151" s="42"/>
      <c r="BF151" s="43">
        <f>BH151+BJ151+BL151+BN151+BP151</f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>
        <f t="shared" si="66"/>
        <v>0</v>
      </c>
      <c r="BR151" s="41"/>
      <c r="BS151" s="40"/>
      <c r="BT151" s="41"/>
      <c r="BU151" s="40"/>
      <c r="BV151" s="41"/>
      <c r="BW151" s="40"/>
      <c r="BX151" s="41"/>
      <c r="BY151" s="42"/>
      <c r="BZ151" s="43">
        <f t="shared" si="67"/>
        <v>0</v>
      </c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>
        <f t="shared" si="68"/>
        <v>0</v>
      </c>
      <c r="CL151" s="41"/>
      <c r="CM151" s="40"/>
      <c r="CN151" s="41"/>
      <c r="CO151" s="40"/>
      <c r="CP151" s="41"/>
      <c r="CQ151" s="40"/>
      <c r="CR151" s="41"/>
      <c r="CS151" s="42"/>
      <c r="CT151" s="43">
        <f>CV151+CX151+CZ151+DB151</f>
        <v>0</v>
      </c>
      <c r="CU151" s="41"/>
      <c r="CV151" s="40"/>
      <c r="CW151" s="40"/>
      <c r="CX151" s="40"/>
      <c r="CY151" s="40"/>
      <c r="CZ151" s="40"/>
      <c r="DA151" s="41"/>
      <c r="DB151" s="42"/>
      <c r="DC151" s="43">
        <f t="shared" si="58"/>
        <v>0</v>
      </c>
      <c r="DD151" s="41"/>
      <c r="DE151" s="40"/>
      <c r="DF151" s="40"/>
      <c r="DG151" s="40"/>
      <c r="DH151" s="40"/>
      <c r="DI151" s="40"/>
      <c r="DJ151" s="41"/>
      <c r="DK151" s="42"/>
    </row>
    <row r="152" spans="1:115" s="1" customFormat="1" ht="15" hidden="1" customHeight="1" x14ac:dyDescent="0.3">
      <c r="A152" s="2">
        <f t="shared" si="46"/>
        <v>4</v>
      </c>
      <c r="B152" s="14">
        <v>1458</v>
      </c>
      <c r="C152" s="5" t="s">
        <v>28</v>
      </c>
      <c r="D152" s="15">
        <v>1999</v>
      </c>
      <c r="E152" s="16">
        <f t="shared" si="59"/>
        <v>0</v>
      </c>
      <c r="F152" s="37"/>
      <c r="G152" s="37"/>
      <c r="H152" s="37"/>
      <c r="I152" s="37"/>
      <c r="J152" s="38">
        <f t="shared" si="60"/>
        <v>0</v>
      </c>
      <c r="K152" s="39"/>
      <c r="L152" s="40"/>
      <c r="M152" s="41"/>
      <c r="N152" s="42"/>
      <c r="O152" s="38">
        <f t="shared" si="61"/>
        <v>0</v>
      </c>
      <c r="P152" s="39"/>
      <c r="Q152" s="42"/>
      <c r="R152" s="43">
        <f t="shared" si="62"/>
        <v>0</v>
      </c>
      <c r="S152" s="44"/>
      <c r="T152" s="45"/>
      <c r="U152" s="44"/>
      <c r="V152" s="45"/>
      <c r="W152" s="44"/>
      <c r="X152" s="45"/>
      <c r="Y152" s="44"/>
      <c r="Z152" s="45"/>
      <c r="AA152" s="44"/>
      <c r="AB152" s="78"/>
      <c r="AC152" s="82">
        <f t="shared" si="63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 t="shared" si="64"/>
        <v>0</v>
      </c>
      <c r="AO152" s="41"/>
      <c r="AP152" s="40"/>
      <c r="AQ152" s="41"/>
      <c r="AR152" s="40"/>
      <c r="AS152" s="41"/>
      <c r="AT152" s="40"/>
      <c r="AU152" s="41"/>
      <c r="AV152" s="42"/>
      <c r="AW152" s="43">
        <f t="shared" si="65"/>
        <v>0</v>
      </c>
      <c r="AX152" s="41"/>
      <c r="AY152" s="40"/>
      <c r="AZ152" s="41"/>
      <c r="BA152" s="40"/>
      <c r="BB152" s="41"/>
      <c r="BC152" s="40"/>
      <c r="BD152" s="41"/>
      <c r="BE152" s="42"/>
      <c r="BF152" s="43">
        <f>BH152+BJ152+BL152+BN152+BP152</f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>
        <f t="shared" si="66"/>
        <v>0</v>
      </c>
      <c r="BR152" s="41"/>
      <c r="BS152" s="40"/>
      <c r="BT152" s="41"/>
      <c r="BU152" s="40"/>
      <c r="BV152" s="41"/>
      <c r="BW152" s="40"/>
      <c r="BX152" s="41"/>
      <c r="BY152" s="42"/>
      <c r="BZ152" s="43">
        <f t="shared" si="67"/>
        <v>0</v>
      </c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>
        <f t="shared" si="68"/>
        <v>0</v>
      </c>
      <c r="CL152" s="41"/>
      <c r="CM152" s="40"/>
      <c r="CN152" s="41"/>
      <c r="CO152" s="40"/>
      <c r="CP152" s="41"/>
      <c r="CQ152" s="40"/>
      <c r="CR152" s="41"/>
      <c r="CS152" s="42"/>
      <c r="CT152" s="43">
        <f>CV152+CX152+CZ152+DB152</f>
        <v>0</v>
      </c>
      <c r="CU152" s="41"/>
      <c r="CV152" s="40"/>
      <c r="CW152" s="40"/>
      <c r="CX152" s="40"/>
      <c r="CY152" s="40"/>
      <c r="CZ152" s="40"/>
      <c r="DA152" s="41"/>
      <c r="DB152" s="42"/>
      <c r="DC152" s="43">
        <f t="shared" si="58"/>
        <v>0</v>
      </c>
      <c r="DD152" s="41"/>
      <c r="DE152" s="40"/>
      <c r="DF152" s="40"/>
      <c r="DG152" s="40"/>
      <c r="DH152" s="40"/>
      <c r="DI152" s="40"/>
      <c r="DJ152" s="41"/>
      <c r="DK152" s="42"/>
    </row>
    <row r="153" spans="1:115" s="1" customFormat="1" ht="15" hidden="1" customHeight="1" x14ac:dyDescent="0.3">
      <c r="A153" s="2">
        <f t="shared" si="46"/>
        <v>5</v>
      </c>
      <c r="B153" s="14">
        <v>106</v>
      </c>
      <c r="C153" s="5" t="s">
        <v>273</v>
      </c>
      <c r="D153" s="15">
        <v>2012</v>
      </c>
      <c r="E153" s="16">
        <f t="shared" si="59"/>
        <v>0</v>
      </c>
      <c r="F153" s="37" t="s">
        <v>151</v>
      </c>
      <c r="G153" s="37"/>
      <c r="H153" s="37" t="s">
        <v>193</v>
      </c>
      <c r="I153" s="37"/>
      <c r="J153" s="38">
        <f t="shared" si="60"/>
        <v>0</v>
      </c>
      <c r="K153" s="39"/>
      <c r="L153" s="40"/>
      <c r="M153" s="41"/>
      <c r="N153" s="42"/>
      <c r="O153" s="38">
        <f t="shared" si="61"/>
        <v>0</v>
      </c>
      <c r="P153" s="39"/>
      <c r="Q153" s="42"/>
      <c r="R153" s="43">
        <f t="shared" si="62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63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 t="shared" si="64"/>
        <v>0</v>
      </c>
      <c r="AO153" s="41"/>
      <c r="AP153" s="40"/>
      <c r="AQ153" s="41"/>
      <c r="AR153" s="40"/>
      <c r="AS153" s="41"/>
      <c r="AT153" s="40"/>
      <c r="AU153" s="41"/>
      <c r="AV153" s="42"/>
      <c r="AW153" s="43">
        <f t="shared" si="65"/>
        <v>0</v>
      </c>
      <c r="AX153" s="41"/>
      <c r="AY153" s="40"/>
      <c r="AZ153" s="41"/>
      <c r="BA153" s="40"/>
      <c r="BB153" s="41"/>
      <c r="BC153" s="40"/>
      <c r="BD153" s="41"/>
      <c r="BE153" s="42"/>
      <c r="BF153" s="43">
        <f>BH153+BJ153+BL153+BN153+BP153</f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 t="shared" si="66"/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 t="shared" si="67"/>
        <v>0</v>
      </c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>
        <f t="shared" si="68"/>
        <v>0</v>
      </c>
      <c r="CL153" s="41"/>
      <c r="CM153" s="40"/>
      <c r="CN153" s="41"/>
      <c r="CO153" s="40"/>
      <c r="CP153" s="41"/>
      <c r="CQ153" s="40"/>
      <c r="CR153" s="41"/>
      <c r="CS153" s="42"/>
      <c r="CT153" s="43">
        <f>CV153+CX153+CZ153</f>
        <v>0</v>
      </c>
      <c r="CU153" s="41"/>
      <c r="CV153" s="40"/>
      <c r="CW153" s="41"/>
      <c r="CX153" s="40"/>
      <c r="CY153" s="40"/>
      <c r="CZ153" s="40"/>
      <c r="DA153" s="35">
        <v>7</v>
      </c>
      <c r="DB153" s="89" t="s">
        <v>110</v>
      </c>
      <c r="DC153" s="43">
        <f t="shared" si="58"/>
        <v>0</v>
      </c>
      <c r="DD153" s="41"/>
      <c r="DE153" s="40"/>
      <c r="DF153" s="40"/>
      <c r="DG153" s="40"/>
      <c r="DH153" s="40"/>
      <c r="DI153" s="40"/>
      <c r="DJ153" s="41"/>
      <c r="DK153" s="53"/>
    </row>
    <row r="154" spans="1:115" s="1" customFormat="1" ht="15" hidden="1" customHeight="1" x14ac:dyDescent="0.3">
      <c r="A154" s="2">
        <f t="shared" si="46"/>
        <v>6</v>
      </c>
      <c r="B154" s="14">
        <v>3238</v>
      </c>
      <c r="C154" s="5" t="s">
        <v>13</v>
      </c>
      <c r="D154" s="15">
        <v>1998</v>
      </c>
      <c r="E154" s="16">
        <f t="shared" si="59"/>
        <v>0</v>
      </c>
      <c r="F154" s="37" t="s">
        <v>156</v>
      </c>
      <c r="G154" s="37"/>
      <c r="H154" s="37" t="s">
        <v>231</v>
      </c>
      <c r="I154" s="37"/>
      <c r="J154" s="38">
        <f t="shared" si="60"/>
        <v>0</v>
      </c>
      <c r="K154" s="39"/>
      <c r="L154" s="40"/>
      <c r="M154" s="41"/>
      <c r="N154" s="42"/>
      <c r="O154" s="38">
        <f t="shared" si="61"/>
        <v>0</v>
      </c>
      <c r="P154" s="39"/>
      <c r="Q154" s="42"/>
      <c r="R154" s="43">
        <f t="shared" si="62"/>
        <v>0</v>
      </c>
      <c r="S154" s="44"/>
      <c r="T154" s="45"/>
      <c r="U154" s="44"/>
      <c r="V154" s="45"/>
      <c r="W154" s="44"/>
      <c r="X154" s="45"/>
      <c r="Y154" s="44"/>
      <c r="Z154" s="45"/>
      <c r="AA154" s="44"/>
      <c r="AB154" s="78"/>
      <c r="AC154" s="82">
        <f t="shared" si="63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 t="shared" si="64"/>
        <v>0</v>
      </c>
      <c r="AO154" s="41"/>
      <c r="AP154" s="40"/>
      <c r="AQ154" s="41"/>
      <c r="AR154" s="40"/>
      <c r="AS154" s="41"/>
      <c r="AT154" s="40"/>
      <c r="AU154" s="41"/>
      <c r="AV154" s="42"/>
      <c r="AW154" s="43">
        <f t="shared" si="65"/>
        <v>0</v>
      </c>
      <c r="AX154" s="41"/>
      <c r="AY154" s="40"/>
      <c r="AZ154" s="41"/>
      <c r="BA154" s="40"/>
      <c r="BB154" s="41"/>
      <c r="BC154" s="40"/>
      <c r="BD154" s="41"/>
      <c r="BE154" s="42"/>
      <c r="BF154" s="43">
        <f>BH154+BJ154+BL154</f>
        <v>0</v>
      </c>
      <c r="BG154" s="41"/>
      <c r="BH154" s="40"/>
      <c r="BI154" s="41"/>
      <c r="BJ154" s="40"/>
      <c r="BK154" s="41"/>
      <c r="BL154" s="40"/>
      <c r="BM154" s="35">
        <v>6</v>
      </c>
      <c r="BN154" s="35" t="s">
        <v>110</v>
      </c>
      <c r="BO154" s="35">
        <v>9</v>
      </c>
      <c r="BP154" s="89" t="s">
        <v>110</v>
      </c>
      <c r="BQ154" s="43">
        <f t="shared" si="66"/>
        <v>0</v>
      </c>
      <c r="BR154" s="41"/>
      <c r="BS154" s="40"/>
      <c r="BT154" s="41"/>
      <c r="BU154" s="40"/>
      <c r="BV154" s="41"/>
      <c r="BW154" s="40"/>
      <c r="BX154" s="41"/>
      <c r="BY154" s="53"/>
      <c r="BZ154" s="43">
        <f t="shared" si="67"/>
        <v>0</v>
      </c>
      <c r="CA154" s="106"/>
      <c r="CB154" s="102"/>
      <c r="CC154" s="41"/>
      <c r="CD154" s="40"/>
      <c r="CE154" s="41"/>
      <c r="CF154" s="40"/>
      <c r="CG154" s="41"/>
      <c r="CH154" s="40"/>
      <c r="CI154" s="41"/>
      <c r="CJ154" s="53"/>
      <c r="CK154" s="43">
        <f t="shared" si="68"/>
        <v>0</v>
      </c>
      <c r="CL154" s="41"/>
      <c r="CM154" s="40"/>
      <c r="CN154" s="41"/>
      <c r="CO154" s="40"/>
      <c r="CP154" s="41"/>
      <c r="CQ154" s="40"/>
      <c r="CR154" s="41"/>
      <c r="CS154" s="53"/>
      <c r="CT154" s="43">
        <f>CV154+CX154+CZ154+DB154</f>
        <v>0</v>
      </c>
      <c r="CU154" s="41"/>
      <c r="CV154" s="40"/>
      <c r="CW154" s="40"/>
      <c r="CX154" s="40"/>
      <c r="CY154" s="40"/>
      <c r="CZ154" s="40"/>
      <c r="DA154" s="41"/>
      <c r="DB154" s="53"/>
      <c r="DC154" s="43">
        <f t="shared" si="58"/>
        <v>0</v>
      </c>
      <c r="DD154" s="41"/>
      <c r="DE154" s="40"/>
      <c r="DF154" s="40"/>
      <c r="DG154" s="40"/>
      <c r="DH154" s="40"/>
      <c r="DI154" s="40"/>
      <c r="DJ154" s="41"/>
      <c r="DK154" s="53"/>
    </row>
    <row r="155" spans="1:115" s="1" customFormat="1" ht="15" hidden="1" customHeight="1" x14ac:dyDescent="0.3">
      <c r="A155" s="2">
        <f t="shared" si="46"/>
        <v>7</v>
      </c>
      <c r="B155" s="14">
        <v>6706</v>
      </c>
      <c r="C155" s="5" t="s">
        <v>101</v>
      </c>
      <c r="D155" s="15">
        <v>2008</v>
      </c>
      <c r="E155" s="16">
        <f t="shared" si="59"/>
        <v>0</v>
      </c>
      <c r="F155" s="37"/>
      <c r="G155" s="37"/>
      <c r="H155" s="37"/>
      <c r="I155" s="37"/>
      <c r="J155" s="38">
        <f t="shared" si="60"/>
        <v>0</v>
      </c>
      <c r="K155" s="39"/>
      <c r="L155" s="40"/>
      <c r="M155" s="41"/>
      <c r="N155" s="42"/>
      <c r="O155" s="38">
        <f t="shared" si="61"/>
        <v>0</v>
      </c>
      <c r="P155" s="39"/>
      <c r="Q155" s="42"/>
      <c r="R155" s="43">
        <f t="shared" si="62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63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>
        <f t="shared" si="64"/>
        <v>0</v>
      </c>
      <c r="AO155" s="41"/>
      <c r="AP155" s="40"/>
      <c r="AQ155" s="41"/>
      <c r="AR155" s="40"/>
      <c r="AS155" s="41"/>
      <c r="AT155" s="40"/>
      <c r="AU155" s="41"/>
      <c r="AV155" s="42"/>
      <c r="AW155" s="43">
        <f t="shared" si="65"/>
        <v>0</v>
      </c>
      <c r="AX155" s="41"/>
      <c r="AY155" s="40"/>
      <c r="AZ155" s="41"/>
      <c r="BA155" s="40"/>
      <c r="BB155" s="41"/>
      <c r="BC155" s="40"/>
      <c r="BD155" s="41"/>
      <c r="BE155" s="53"/>
      <c r="BF155" s="43">
        <f>BH155+BJ155+BL155+BN155+BP155</f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53"/>
      <c r="BQ155" s="43">
        <f t="shared" si="66"/>
        <v>0</v>
      </c>
      <c r="BR155" s="41"/>
      <c r="BS155" s="40"/>
      <c r="BT155" s="41"/>
      <c r="BU155" s="40"/>
      <c r="BV155" s="41"/>
      <c r="BW155" s="40"/>
      <c r="BX155" s="41"/>
      <c r="BY155" s="53"/>
      <c r="BZ155" s="43">
        <f t="shared" si="67"/>
        <v>0</v>
      </c>
      <c r="CA155" s="106"/>
      <c r="CB155" s="102"/>
      <c r="CC155" s="41"/>
      <c r="CD155" s="40"/>
      <c r="CE155" s="41"/>
      <c r="CF155" s="40"/>
      <c r="CG155" s="41"/>
      <c r="CH155" s="40"/>
      <c r="CI155" s="41"/>
      <c r="CJ155" s="53"/>
      <c r="CK155" s="43">
        <f t="shared" si="68"/>
        <v>0</v>
      </c>
      <c r="CL155" s="41"/>
      <c r="CM155" s="40"/>
      <c r="CN155" s="41"/>
      <c r="CO155" s="40"/>
      <c r="CP155" s="41"/>
      <c r="CQ155" s="40"/>
      <c r="CR155" s="41"/>
      <c r="CS155" s="53"/>
      <c r="CT155" s="43">
        <f>CV155+CX155+CZ155+DB155</f>
        <v>0</v>
      </c>
      <c r="CU155" s="41"/>
      <c r="CV155" s="40"/>
      <c r="CW155" s="40"/>
      <c r="CX155" s="40"/>
      <c r="CY155" s="40"/>
      <c r="CZ155" s="40"/>
      <c r="DA155" s="41"/>
      <c r="DB155" s="53"/>
      <c r="DC155" s="43">
        <f t="shared" si="58"/>
        <v>0</v>
      </c>
      <c r="DD155" s="41"/>
      <c r="DE155" s="40"/>
      <c r="DF155" s="40"/>
      <c r="DG155" s="40"/>
      <c r="DH155" s="40"/>
      <c r="DI155" s="40"/>
      <c r="DJ155" s="41"/>
      <c r="DK155" s="53"/>
    </row>
    <row r="156" spans="1:115" s="1" customFormat="1" ht="15" hidden="1" customHeight="1" x14ac:dyDescent="0.3">
      <c r="A156" s="2"/>
      <c r="B156" s="14">
        <v>7400</v>
      </c>
      <c r="C156" s="5" t="s">
        <v>73</v>
      </c>
      <c r="D156" s="15">
        <v>2009</v>
      </c>
      <c r="E156" s="16">
        <f t="shared" si="59"/>
        <v>0</v>
      </c>
      <c r="F156" s="37"/>
      <c r="G156" s="37"/>
      <c r="H156" s="37"/>
      <c r="I156" s="37"/>
      <c r="J156" s="38"/>
      <c r="K156" s="39"/>
      <c r="L156" s="40"/>
      <c r="M156" s="41"/>
      <c r="N156" s="42"/>
      <c r="O156" s="38"/>
      <c r="P156" s="39"/>
      <c r="Q156" s="42"/>
      <c r="R156" s="43"/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/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/>
      <c r="AO156" s="41"/>
      <c r="AP156" s="40"/>
      <c r="AQ156" s="41"/>
      <c r="AR156" s="40"/>
      <c r="AS156" s="41"/>
      <c r="AT156" s="40"/>
      <c r="AU156" s="41"/>
      <c r="AV156" s="42"/>
      <c r="AW156" s="43"/>
      <c r="AX156" s="41"/>
      <c r="AY156" s="40"/>
      <c r="AZ156" s="41"/>
      <c r="BA156" s="40"/>
      <c r="BB156" s="41"/>
      <c r="BC156" s="40"/>
      <c r="BD156" s="41"/>
      <c r="BE156" s="42"/>
      <c r="BF156" s="43"/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/>
      <c r="BR156" s="41"/>
      <c r="BS156" s="40"/>
      <c r="BT156" s="41"/>
      <c r="BU156" s="40"/>
      <c r="BV156" s="41"/>
      <c r="BW156" s="40"/>
      <c r="BX156" s="41"/>
      <c r="BY156" s="42"/>
      <c r="BZ156" s="43"/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/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>
        <f t="shared" si="58"/>
        <v>0</v>
      </c>
      <c r="DD156" s="41"/>
      <c r="DE156" s="40"/>
      <c r="DF156" s="41"/>
      <c r="DG156" s="40"/>
      <c r="DH156" s="41"/>
      <c r="DI156" s="40"/>
      <c r="DJ156" s="41"/>
      <c r="DK156" s="42"/>
    </row>
    <row r="157" spans="1:115" s="1" customFormat="1" ht="15" hidden="1" customHeight="1" x14ac:dyDescent="0.3">
      <c r="A157" s="2"/>
      <c r="B157" s="14">
        <v>6975</v>
      </c>
      <c r="C157" s="5" t="s">
        <v>64</v>
      </c>
      <c r="D157" s="15">
        <v>2009</v>
      </c>
      <c r="E157" s="16">
        <f t="shared" si="59"/>
        <v>0</v>
      </c>
      <c r="F157" s="37" t="s">
        <v>179</v>
      </c>
      <c r="G157" s="37"/>
      <c r="H157" s="37" t="s">
        <v>181</v>
      </c>
      <c r="I157" s="37"/>
      <c r="J157" s="38"/>
      <c r="K157" s="33"/>
      <c r="L157" s="34"/>
      <c r="M157" s="41"/>
      <c r="N157" s="42"/>
      <c r="O157" s="38"/>
      <c r="P157" s="39"/>
      <c r="Q157" s="42"/>
      <c r="R157" s="43"/>
      <c r="S157" s="96"/>
      <c r="T157" s="45"/>
      <c r="U157" s="44"/>
      <c r="V157" s="45"/>
      <c r="W157" s="96"/>
      <c r="X157" s="45"/>
      <c r="Y157" s="74"/>
      <c r="Z157" s="75"/>
      <c r="AA157" s="44"/>
      <c r="AB157" s="78"/>
      <c r="AC157" s="82"/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/>
      <c r="AO157" s="41"/>
      <c r="AP157" s="40"/>
      <c r="AQ157" s="41"/>
      <c r="AR157" s="40"/>
      <c r="AS157" s="41"/>
      <c r="AT157" s="40"/>
      <c r="AU157" s="41"/>
      <c r="AV157" s="42"/>
      <c r="AW157" s="43"/>
      <c r="AX157" s="86"/>
      <c r="AY157" s="87"/>
      <c r="AZ157" s="41"/>
      <c r="BA157" s="40"/>
      <c r="BB157" s="35"/>
      <c r="BC157" s="34"/>
      <c r="BD157" s="86"/>
      <c r="BE157" s="88"/>
      <c r="BF157" s="43"/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/>
      <c r="BR157" s="41"/>
      <c r="BS157" s="40"/>
      <c r="BT157" s="41"/>
      <c r="BU157" s="40"/>
      <c r="BV157" s="41"/>
      <c r="BW157" s="40"/>
      <c r="BX157" s="41"/>
      <c r="BY157" s="42"/>
      <c r="BZ157" s="43"/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/>
      <c r="CL157" s="41"/>
      <c r="CM157" s="40"/>
      <c r="CN157" s="41"/>
      <c r="CO157" s="40"/>
      <c r="CP157" s="41"/>
      <c r="CQ157" s="40"/>
      <c r="CR157" s="41"/>
      <c r="CS157" s="42"/>
      <c r="CT157" s="43"/>
      <c r="CU157" s="41"/>
      <c r="CV157" s="40"/>
      <c r="CW157" s="40"/>
      <c r="CX157" s="40"/>
      <c r="CY157" s="40"/>
      <c r="CZ157" s="40"/>
      <c r="DA157" s="41"/>
      <c r="DB157" s="42"/>
      <c r="DC157" s="43">
        <f t="shared" si="58"/>
        <v>0</v>
      </c>
      <c r="DD157" s="41"/>
      <c r="DE157" s="40"/>
      <c r="DF157" s="41"/>
      <c r="DG157" s="40"/>
      <c r="DH157" s="41"/>
      <c r="DI157" s="40"/>
      <c r="DJ157" s="41"/>
      <c r="DK157" s="42"/>
    </row>
    <row r="158" spans="1:115" s="1" customFormat="1" ht="15" hidden="1" customHeight="1" x14ac:dyDescent="0.3">
      <c r="A158" s="2">
        <f t="shared" si="46"/>
        <v>1</v>
      </c>
      <c r="B158" s="14">
        <v>5903</v>
      </c>
      <c r="C158" s="5" t="s">
        <v>97</v>
      </c>
      <c r="D158" s="15">
        <v>2006</v>
      </c>
      <c r="E158" s="16">
        <f t="shared" si="59"/>
        <v>0</v>
      </c>
      <c r="F158" s="37"/>
      <c r="G158" s="37"/>
      <c r="H158" s="37"/>
      <c r="I158" s="37"/>
      <c r="J158" s="38">
        <f>L158+N158</f>
        <v>0</v>
      </c>
      <c r="K158" s="39"/>
      <c r="L158" s="40"/>
      <c r="M158" s="41"/>
      <c r="N158" s="42"/>
      <c r="O158" s="38">
        <f>Q158</f>
        <v>0</v>
      </c>
      <c r="P158" s="39"/>
      <c r="Q158" s="42"/>
      <c r="R158" s="43">
        <f>T158+V158+X158+Z158+AB158</f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82">
        <f>AE158+AG158+AI158+AK158+AM158</f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>
        <f>AP158+AR158+AT158+AV158</f>
        <v>0</v>
      </c>
      <c r="AO158" s="41"/>
      <c r="AP158" s="40"/>
      <c r="AQ158" s="41"/>
      <c r="AR158" s="40"/>
      <c r="AS158" s="41"/>
      <c r="AT158" s="40"/>
      <c r="AU158" s="41"/>
      <c r="AV158" s="42"/>
      <c r="AW158" s="43">
        <f>AY158+BA158+BC158+BE158</f>
        <v>0</v>
      </c>
      <c r="AX158" s="41"/>
      <c r="AY158" s="40"/>
      <c r="AZ158" s="41"/>
      <c r="BA158" s="40"/>
      <c r="BB158" s="41"/>
      <c r="BC158" s="40"/>
      <c r="BD158" s="41"/>
      <c r="BE158" s="42"/>
      <c r="BF158" s="43">
        <f>BH158+BJ158+BL158+BN158+BP158</f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>
        <f>BS158+BU158+BW158+BY158</f>
        <v>0</v>
      </c>
      <c r="BR158" s="41"/>
      <c r="BS158" s="40"/>
      <c r="BT158" s="41"/>
      <c r="BU158" s="40"/>
      <c r="BV158" s="41"/>
      <c r="BW158" s="40"/>
      <c r="BX158" s="41"/>
      <c r="BY158" s="42"/>
      <c r="BZ158" s="43">
        <f>CB158+CD158+CF158+CH158+CJ158</f>
        <v>0</v>
      </c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>
        <f>CM158+CO158+CQ158+CS158</f>
        <v>0</v>
      </c>
      <c r="CL158" s="41"/>
      <c r="CM158" s="40"/>
      <c r="CN158" s="41"/>
      <c r="CO158" s="40"/>
      <c r="CP158" s="41"/>
      <c r="CQ158" s="40"/>
      <c r="CR158" s="41"/>
      <c r="CS158" s="42"/>
      <c r="CT158" s="43">
        <f>CV158+CX158+CZ158+DB158</f>
        <v>0</v>
      </c>
      <c r="CU158" s="41"/>
      <c r="CV158" s="40"/>
      <c r="CW158" s="40"/>
      <c r="CX158" s="40"/>
      <c r="CY158" s="40"/>
      <c r="CZ158" s="40"/>
      <c r="DA158" s="41"/>
      <c r="DB158" s="42"/>
      <c r="DC158" s="43">
        <f t="shared" si="58"/>
        <v>0</v>
      </c>
      <c r="DD158" s="41"/>
      <c r="DE158" s="40"/>
      <c r="DF158" s="40"/>
      <c r="DG158" s="40"/>
      <c r="DH158" s="40"/>
      <c r="DI158" s="40"/>
      <c r="DJ158" s="41"/>
      <c r="DK158" s="42"/>
    </row>
    <row r="159" spans="1:115" s="1" customFormat="1" ht="15" hidden="1" customHeight="1" x14ac:dyDescent="0.3">
      <c r="A159" s="2">
        <f t="shared" si="46"/>
        <v>2</v>
      </c>
      <c r="B159" s="14">
        <v>4843</v>
      </c>
      <c r="C159" s="5" t="s">
        <v>98</v>
      </c>
      <c r="D159" s="15">
        <v>2006</v>
      </c>
      <c r="E159" s="16">
        <f t="shared" si="59"/>
        <v>0</v>
      </c>
      <c r="F159" s="37" t="s">
        <v>209</v>
      </c>
      <c r="G159" s="37"/>
      <c r="H159" s="37" t="s">
        <v>210</v>
      </c>
      <c r="I159" s="37" t="s">
        <v>211</v>
      </c>
      <c r="J159" s="38">
        <f>L159+N159</f>
        <v>0</v>
      </c>
      <c r="K159" s="39"/>
      <c r="L159" s="40"/>
      <c r="M159" s="41"/>
      <c r="N159" s="42"/>
      <c r="O159" s="38">
        <f>Q159</f>
        <v>0</v>
      </c>
      <c r="P159" s="39"/>
      <c r="Q159" s="42"/>
      <c r="R159" s="43">
        <f>T159+V159+X159+Z159+AB159</f>
        <v>0</v>
      </c>
      <c r="S159" s="96"/>
      <c r="T159" s="45"/>
      <c r="U159" s="96"/>
      <c r="V159" s="45"/>
      <c r="W159" s="44"/>
      <c r="X159" s="45"/>
      <c r="Y159" s="96"/>
      <c r="Z159" s="45"/>
      <c r="AA159" s="44"/>
      <c r="AB159" s="78"/>
      <c r="AC159" s="82">
        <f>AE159+AG159+AI159+AK159+AM159</f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>AP159+AR159+AT159+AV159</f>
        <v>0</v>
      </c>
      <c r="AO159" s="41"/>
      <c r="AP159" s="40"/>
      <c r="AQ159" s="41"/>
      <c r="AR159" s="40"/>
      <c r="AS159" s="41"/>
      <c r="AT159" s="40"/>
      <c r="AU159" s="41"/>
      <c r="AV159" s="42"/>
      <c r="AW159" s="43">
        <f>AY159+BA159+BC159+BE159</f>
        <v>0</v>
      </c>
      <c r="AX159" s="41"/>
      <c r="AY159" s="40"/>
      <c r="AZ159" s="41"/>
      <c r="BA159" s="40"/>
      <c r="BB159" s="41"/>
      <c r="BC159" s="40"/>
      <c r="BD159" s="41"/>
      <c r="BE159" s="42"/>
      <c r="BF159" s="43">
        <f>BH159+BJ159+BL159+BN159+BP159</f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>BS159+BU159</f>
        <v>0</v>
      </c>
      <c r="BR159" s="41"/>
      <c r="BS159" s="40"/>
      <c r="BT159" s="41"/>
      <c r="BU159" s="40"/>
      <c r="BV159" s="35">
        <v>8</v>
      </c>
      <c r="BW159" s="35" t="s">
        <v>110</v>
      </c>
      <c r="BX159" s="35">
        <v>7</v>
      </c>
      <c r="BY159" s="89" t="s">
        <v>110</v>
      </c>
      <c r="BZ159" s="43">
        <f>CB159+CD159+CF159+CH159+CJ159</f>
        <v>0</v>
      </c>
      <c r="CA159" s="106"/>
      <c r="CB159" s="102"/>
      <c r="CC159" s="41"/>
      <c r="CD159" s="40"/>
      <c r="CE159" s="41"/>
      <c r="CF159" s="40"/>
      <c r="CG159" s="41"/>
      <c r="CH159" s="41"/>
      <c r="CI159" s="41"/>
      <c r="CJ159" s="53"/>
      <c r="CK159" s="43">
        <f>CM159+CO159+CQ159+CS159</f>
        <v>0</v>
      </c>
      <c r="CL159" s="41"/>
      <c r="CM159" s="40"/>
      <c r="CN159" s="41"/>
      <c r="CO159" s="40"/>
      <c r="CP159" s="41"/>
      <c r="CQ159" s="41"/>
      <c r="CR159" s="41"/>
      <c r="CS159" s="53"/>
      <c r="CT159" s="43">
        <f>CV159+CX159+CZ159+DB159</f>
        <v>0</v>
      </c>
      <c r="CU159" s="41"/>
      <c r="CV159" s="40"/>
      <c r="CW159" s="40"/>
      <c r="CX159" s="40"/>
      <c r="CY159" s="40"/>
      <c r="CZ159" s="40"/>
      <c r="DA159" s="41"/>
      <c r="DB159" s="53"/>
      <c r="DC159" s="43">
        <f t="shared" si="58"/>
        <v>0</v>
      </c>
      <c r="DD159" s="41"/>
      <c r="DE159" s="40"/>
      <c r="DF159" s="40"/>
      <c r="DG159" s="40"/>
      <c r="DH159" s="40"/>
      <c r="DI159" s="40"/>
      <c r="DJ159" s="41"/>
      <c r="DK159" s="53"/>
    </row>
    <row r="160" spans="1:115" s="1" customFormat="1" ht="15" customHeight="1" x14ac:dyDescent="0.3">
      <c r="A160" s="2"/>
      <c r="B160" s="14">
        <v>7093</v>
      </c>
      <c r="C160" s="5" t="s">
        <v>96</v>
      </c>
      <c r="D160" s="15">
        <v>2009</v>
      </c>
      <c r="E160" s="16">
        <f t="shared" si="59"/>
        <v>0</v>
      </c>
      <c r="F160" s="37" t="s">
        <v>151</v>
      </c>
      <c r="G160" s="37"/>
      <c r="H160" s="37" t="s">
        <v>297</v>
      </c>
      <c r="I160" s="37"/>
      <c r="J160" s="38"/>
      <c r="K160" s="39"/>
      <c r="L160" s="40"/>
      <c r="M160" s="41"/>
      <c r="N160" s="42"/>
      <c r="O160" s="38"/>
      <c r="P160" s="39"/>
      <c r="Q160" s="42"/>
      <c r="R160" s="43"/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/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/>
      <c r="AO160" s="41"/>
      <c r="AP160" s="40"/>
      <c r="AQ160" s="41"/>
      <c r="AR160" s="40"/>
      <c r="AS160" s="41"/>
      <c r="AT160" s="40"/>
      <c r="AU160" s="41"/>
      <c r="AV160" s="42"/>
      <c r="AW160" s="43"/>
      <c r="AX160" s="41"/>
      <c r="AY160" s="40"/>
      <c r="AZ160" s="41"/>
      <c r="BA160" s="40"/>
      <c r="BB160" s="41"/>
      <c r="BC160" s="40"/>
      <c r="BD160" s="41"/>
      <c r="BE160" s="42"/>
      <c r="BF160" s="43"/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/>
      <c r="BR160" s="41"/>
      <c r="BS160" s="40"/>
      <c r="BT160" s="41"/>
      <c r="BU160" s="40"/>
      <c r="BV160" s="41"/>
      <c r="BW160" s="40"/>
      <c r="BX160" s="41"/>
      <c r="BY160" s="42"/>
      <c r="BZ160" s="43"/>
      <c r="CA160" s="106"/>
      <c r="CB160" s="102"/>
      <c r="CC160" s="41"/>
      <c r="CD160" s="40"/>
      <c r="CE160" s="41"/>
      <c r="CF160" s="40"/>
      <c r="CG160" s="41"/>
      <c r="CH160" s="40"/>
      <c r="CI160" s="41"/>
      <c r="CJ160" s="42"/>
      <c r="CK160" s="43"/>
      <c r="CL160" s="41"/>
      <c r="CM160" s="40"/>
      <c r="CN160" s="41"/>
      <c r="CO160" s="40"/>
      <c r="CP160" s="41"/>
      <c r="CQ160" s="40"/>
      <c r="CR160" s="41"/>
      <c r="CS160" s="42"/>
      <c r="CT160" s="43"/>
      <c r="CU160" s="41"/>
      <c r="CV160" s="40"/>
      <c r="CW160" s="40"/>
      <c r="CX160" s="40"/>
      <c r="CY160" s="40"/>
      <c r="CZ160" s="40"/>
      <c r="DA160" s="41"/>
      <c r="DB160" s="42"/>
      <c r="DC160" s="43">
        <f>DE160+DG160+DK160</f>
        <v>0</v>
      </c>
      <c r="DD160" s="41"/>
      <c r="DE160" s="40"/>
      <c r="DF160" s="41"/>
      <c r="DG160" s="40"/>
      <c r="DH160" s="35">
        <v>9</v>
      </c>
      <c r="DI160" s="35" t="s">
        <v>110</v>
      </c>
      <c r="DJ160" s="41"/>
      <c r="DK160" s="42"/>
    </row>
    <row r="161" spans="1:115" s="1" customFormat="1" ht="15" hidden="1" customHeight="1" x14ac:dyDescent="0.3">
      <c r="A161" s="2"/>
      <c r="B161" s="14">
        <v>6784</v>
      </c>
      <c r="C161" s="5" t="s">
        <v>79</v>
      </c>
      <c r="D161" s="15">
        <v>2009</v>
      </c>
      <c r="E161" s="16">
        <f t="shared" si="59"/>
        <v>0</v>
      </c>
      <c r="F161" s="37"/>
      <c r="G161" s="37"/>
      <c r="H161" s="37"/>
      <c r="I161" s="37"/>
      <c r="J161" s="38"/>
      <c r="K161" s="39"/>
      <c r="L161" s="40"/>
      <c r="M161" s="41"/>
      <c r="N161" s="42"/>
      <c r="O161" s="38"/>
      <c r="P161" s="39"/>
      <c r="Q161" s="42"/>
      <c r="R161" s="43"/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/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/>
      <c r="AO161" s="41"/>
      <c r="AP161" s="40"/>
      <c r="AQ161" s="41"/>
      <c r="AR161" s="40"/>
      <c r="AS161" s="41"/>
      <c r="AT161" s="40"/>
      <c r="AU161" s="41"/>
      <c r="AV161" s="42"/>
      <c r="AW161" s="43"/>
      <c r="AX161" s="41"/>
      <c r="AY161" s="40"/>
      <c r="AZ161" s="41"/>
      <c r="BA161" s="40"/>
      <c r="BB161" s="41"/>
      <c r="BC161" s="40"/>
      <c r="BD161" s="41"/>
      <c r="BE161" s="42"/>
      <c r="BF161" s="43"/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/>
      <c r="BR161" s="41"/>
      <c r="BS161" s="40"/>
      <c r="BT161" s="41"/>
      <c r="BU161" s="40"/>
      <c r="BV161" s="41"/>
      <c r="BW161" s="40"/>
      <c r="BX161" s="41"/>
      <c r="BY161" s="42"/>
      <c r="BZ161" s="43"/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/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>
        <f>DE161+DG161+DI161+DK161</f>
        <v>0</v>
      </c>
      <c r="DD161" s="41"/>
      <c r="DE161" s="40"/>
      <c r="DF161" s="41"/>
      <c r="DG161" s="40"/>
      <c r="DH161" s="41"/>
      <c r="DI161" s="40"/>
      <c r="DJ161" s="41"/>
      <c r="DK161" s="42"/>
    </row>
    <row r="162" spans="1:115" s="1" customFormat="1" ht="15" hidden="1" customHeight="1" x14ac:dyDescent="0.3">
      <c r="A162" s="2"/>
      <c r="B162" s="14">
        <v>6307</v>
      </c>
      <c r="C162" s="5" t="s">
        <v>102</v>
      </c>
      <c r="D162" s="15">
        <v>2009</v>
      </c>
      <c r="E162" s="16">
        <f t="shared" si="59"/>
        <v>0</v>
      </c>
      <c r="F162" s="37"/>
      <c r="G162" s="37"/>
      <c r="H162" s="37"/>
      <c r="I162" s="37"/>
      <c r="J162" s="38"/>
      <c r="K162" s="39"/>
      <c r="L162" s="40"/>
      <c r="M162" s="41"/>
      <c r="N162" s="42"/>
      <c r="O162" s="38"/>
      <c r="P162" s="39"/>
      <c r="Q162" s="42"/>
      <c r="R162" s="43"/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/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/>
      <c r="AX162" s="41"/>
      <c r="AY162" s="40"/>
      <c r="AZ162" s="41"/>
      <c r="BA162" s="40"/>
      <c r="BB162" s="41"/>
      <c r="BC162" s="40"/>
      <c r="BD162" s="41"/>
      <c r="BE162" s="42"/>
      <c r="BF162" s="43"/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/>
      <c r="BR162" s="41"/>
      <c r="BS162" s="40"/>
      <c r="BT162" s="41"/>
      <c r="BU162" s="40"/>
      <c r="BV162" s="41"/>
      <c r="BW162" s="40"/>
      <c r="BX162" s="41"/>
      <c r="BY162" s="42"/>
      <c r="BZ162" s="43"/>
      <c r="CA162" s="106"/>
      <c r="CB162" s="102"/>
      <c r="CC162" s="41"/>
      <c r="CD162" s="40"/>
      <c r="CE162" s="41"/>
      <c r="CF162" s="40"/>
      <c r="CG162" s="41"/>
      <c r="CH162" s="40"/>
      <c r="CI162" s="41"/>
      <c r="CJ162" s="42"/>
      <c r="CK162" s="43"/>
      <c r="CL162" s="41"/>
      <c r="CM162" s="40"/>
      <c r="CN162" s="41"/>
      <c r="CO162" s="40"/>
      <c r="CP162" s="41"/>
      <c r="CQ162" s="40"/>
      <c r="CR162" s="41"/>
      <c r="CS162" s="42"/>
      <c r="CT162" s="43"/>
      <c r="CU162" s="41"/>
      <c r="CV162" s="40"/>
      <c r="CW162" s="40"/>
      <c r="CX162" s="40"/>
      <c r="CY162" s="40"/>
      <c r="CZ162" s="40"/>
      <c r="DA162" s="41"/>
      <c r="DB162" s="42"/>
      <c r="DC162" s="43">
        <f>DE162+DG162+DI162+DK162</f>
        <v>0</v>
      </c>
      <c r="DD162" s="41"/>
      <c r="DE162" s="40"/>
      <c r="DF162" s="41"/>
      <c r="DG162" s="40"/>
      <c r="DH162" s="41"/>
      <c r="DI162" s="40"/>
      <c r="DJ162" s="41"/>
      <c r="DK162" s="42"/>
    </row>
    <row r="163" spans="1:115" s="1" customFormat="1" ht="15" hidden="1" customHeight="1" x14ac:dyDescent="0.3">
      <c r="A163" s="2">
        <f t="shared" si="46"/>
        <v>1</v>
      </c>
      <c r="B163" s="14">
        <v>5512</v>
      </c>
      <c r="C163" s="5" t="s">
        <v>45</v>
      </c>
      <c r="D163" s="15">
        <v>2005</v>
      </c>
      <c r="E163" s="16">
        <f t="shared" si="59"/>
        <v>0</v>
      </c>
      <c r="F163" s="37" t="s">
        <v>179</v>
      </c>
      <c r="G163" s="37"/>
      <c r="H163" s="37" t="s">
        <v>183</v>
      </c>
      <c r="I163" s="37" t="s">
        <v>181</v>
      </c>
      <c r="J163" s="38">
        <f>L163+N163</f>
        <v>0</v>
      </c>
      <c r="K163" s="39"/>
      <c r="L163" s="40"/>
      <c r="M163" s="41"/>
      <c r="N163" s="42"/>
      <c r="O163" s="38">
        <f>Q163</f>
        <v>0</v>
      </c>
      <c r="P163" s="39"/>
      <c r="Q163" s="42"/>
      <c r="R163" s="43">
        <f>T163+V163+X163+Z163+AB163</f>
        <v>0</v>
      </c>
      <c r="S163" s="44"/>
      <c r="T163" s="45"/>
      <c r="U163" s="44"/>
      <c r="V163" s="45"/>
      <c r="W163" s="44"/>
      <c r="X163" s="45"/>
      <c r="Y163" s="44"/>
      <c r="Z163" s="45"/>
      <c r="AA163" s="44"/>
      <c r="AB163" s="78"/>
      <c r="AC163" s="82">
        <f>AE163+AG163+AI163+AK163+AM163</f>
        <v>0</v>
      </c>
      <c r="AD163" s="44"/>
      <c r="AE163" s="45"/>
      <c r="AF163" s="44"/>
      <c r="AG163" s="45"/>
      <c r="AH163" s="44"/>
      <c r="AI163" s="45"/>
      <c r="AJ163" s="44"/>
      <c r="AK163" s="45"/>
      <c r="AL163" s="44"/>
      <c r="AM163" s="46"/>
      <c r="AN163" s="79">
        <f>AP163+AR163</f>
        <v>0</v>
      </c>
      <c r="AO163" s="41"/>
      <c r="AP163" s="40"/>
      <c r="AQ163" s="41"/>
      <c r="AR163" s="40"/>
      <c r="AS163" s="35">
        <v>6</v>
      </c>
      <c r="AT163" s="35" t="s">
        <v>110</v>
      </c>
      <c r="AU163" s="35">
        <v>8</v>
      </c>
      <c r="AV163" s="89" t="s">
        <v>110</v>
      </c>
      <c r="AW163" s="43">
        <f>AY163+BA163+BC163+BE163</f>
        <v>0</v>
      </c>
      <c r="AX163" s="41"/>
      <c r="AY163" s="40"/>
      <c r="AZ163" s="41"/>
      <c r="BA163" s="40"/>
      <c r="BB163" s="41"/>
      <c r="BC163" s="40"/>
      <c r="BD163" s="41"/>
      <c r="BE163" s="42"/>
      <c r="BF163" s="43">
        <f>BH163+BJ163+BL163+BN163+BP163</f>
        <v>0</v>
      </c>
      <c r="BG163" s="41"/>
      <c r="BH163" s="40"/>
      <c r="BI163" s="41"/>
      <c r="BJ163" s="40"/>
      <c r="BK163" s="41"/>
      <c r="BL163" s="40"/>
      <c r="BM163" s="41"/>
      <c r="BN163" s="40"/>
      <c r="BO163" s="41"/>
      <c r="BP163" s="42"/>
      <c r="BQ163" s="43">
        <f>BS163+BU163+BW163+BY163</f>
        <v>0</v>
      </c>
      <c r="BR163" s="41"/>
      <c r="BS163" s="40"/>
      <c r="BT163" s="41"/>
      <c r="BU163" s="40"/>
      <c r="BV163" s="41"/>
      <c r="BW163" s="40"/>
      <c r="BX163" s="41"/>
      <c r="BY163" s="42"/>
      <c r="BZ163" s="43">
        <f>CB163+CD163+CF163+CH163+CJ163</f>
        <v>0</v>
      </c>
      <c r="CA163" s="106"/>
      <c r="CB163" s="102"/>
      <c r="CC163" s="41"/>
      <c r="CD163" s="40"/>
      <c r="CE163" s="41"/>
      <c r="CF163" s="40"/>
      <c r="CG163" s="41"/>
      <c r="CH163" s="40"/>
      <c r="CI163" s="41"/>
      <c r="CJ163" s="42"/>
      <c r="CK163" s="43">
        <f>CM163+CO163+CQ163+CS163</f>
        <v>0</v>
      </c>
      <c r="CL163" s="41"/>
      <c r="CM163" s="40"/>
      <c r="CN163" s="41"/>
      <c r="CO163" s="40"/>
      <c r="CP163" s="41"/>
      <c r="CQ163" s="40"/>
      <c r="CR163" s="41"/>
      <c r="CS163" s="42"/>
      <c r="CT163" s="43">
        <f>CV163+CX163+CZ163+DB163</f>
        <v>0</v>
      </c>
      <c r="CU163" s="41"/>
      <c r="CV163" s="40"/>
      <c r="CW163" s="40"/>
      <c r="CX163" s="40"/>
      <c r="CY163" s="40"/>
      <c r="CZ163" s="40"/>
      <c r="DA163" s="41"/>
      <c r="DB163" s="42"/>
      <c r="DC163" s="43">
        <f>DE163+DG163+DI163+DK163</f>
        <v>0</v>
      </c>
      <c r="DD163" s="41"/>
      <c r="DE163" s="40"/>
      <c r="DF163" s="40"/>
      <c r="DG163" s="40"/>
      <c r="DH163" s="40"/>
      <c r="DI163" s="40"/>
      <c r="DJ163" s="41"/>
      <c r="DK163" s="42"/>
    </row>
    <row r="164" spans="1:115" s="1" customFormat="1" ht="15" hidden="1" customHeight="1" x14ac:dyDescent="0.3">
      <c r="A164" s="2">
        <f t="shared" si="46"/>
        <v>2</v>
      </c>
      <c r="B164" s="14">
        <v>5970</v>
      </c>
      <c r="C164" s="5" t="s">
        <v>61</v>
      </c>
      <c r="D164" s="15">
        <v>2008</v>
      </c>
      <c r="E164" s="16">
        <f t="shared" si="59"/>
        <v>0</v>
      </c>
      <c r="F164" s="37" t="s">
        <v>209</v>
      </c>
      <c r="G164" s="37"/>
      <c r="H164" s="37" t="s">
        <v>210</v>
      </c>
      <c r="I164" s="37" t="s">
        <v>211</v>
      </c>
      <c r="J164" s="38">
        <f>L164+N164</f>
        <v>0</v>
      </c>
      <c r="K164" s="39"/>
      <c r="L164" s="40"/>
      <c r="M164" s="41"/>
      <c r="N164" s="42"/>
      <c r="O164" s="38">
        <f>Q164</f>
        <v>0</v>
      </c>
      <c r="P164" s="39"/>
      <c r="Q164" s="42"/>
      <c r="R164" s="43">
        <f>T164+V164+X164+Z164+AB164</f>
        <v>0</v>
      </c>
      <c r="S164" s="44"/>
      <c r="T164" s="45"/>
      <c r="U164" s="44"/>
      <c r="V164" s="45"/>
      <c r="W164" s="44"/>
      <c r="X164" s="45"/>
      <c r="Y164" s="44"/>
      <c r="Z164" s="45"/>
      <c r="AA164" s="44"/>
      <c r="AB164" s="78"/>
      <c r="AC164" s="82">
        <f>AE164+AG164+AI164+AK164+AM164</f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>
        <f>AP164+AR164</f>
        <v>0</v>
      </c>
      <c r="AO164" s="41"/>
      <c r="AP164" s="40"/>
      <c r="AQ164" s="41"/>
      <c r="AR164" s="40"/>
      <c r="AS164" s="35">
        <v>8</v>
      </c>
      <c r="AT164" s="35" t="s">
        <v>110</v>
      </c>
      <c r="AU164" s="35">
        <v>9</v>
      </c>
      <c r="AV164" s="89" t="s">
        <v>110</v>
      </c>
      <c r="AW164" s="43">
        <f>AY164+BA164+BC164+BE164</f>
        <v>0</v>
      </c>
      <c r="AX164" s="41"/>
      <c r="AY164" s="40"/>
      <c r="AZ164" s="41"/>
      <c r="BA164" s="40"/>
      <c r="BB164" s="41"/>
      <c r="BC164" s="40"/>
      <c r="BD164" s="41"/>
      <c r="BE164" s="53"/>
      <c r="BF164" s="43">
        <f>BH164+BJ164+BL164+BN164+BP164</f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53"/>
      <c r="BQ164" s="43">
        <f>BS164+BU164</f>
        <v>0</v>
      </c>
      <c r="BR164" s="41"/>
      <c r="BS164" s="40"/>
      <c r="BT164" s="41"/>
      <c r="BU164" s="40"/>
      <c r="BV164" s="35">
        <v>8</v>
      </c>
      <c r="BW164" s="35" t="s">
        <v>110</v>
      </c>
      <c r="BX164" s="35">
        <v>7</v>
      </c>
      <c r="BY164" s="89" t="s">
        <v>110</v>
      </c>
      <c r="BZ164" s="43">
        <f>CB164+CD164+CF164+CH164+CJ164</f>
        <v>0</v>
      </c>
      <c r="CA164" s="106"/>
      <c r="CB164" s="102"/>
      <c r="CC164" s="41"/>
      <c r="CD164" s="40"/>
      <c r="CE164" s="41"/>
      <c r="CF164" s="40"/>
      <c r="CG164" s="41"/>
      <c r="CH164" s="41"/>
      <c r="CI164" s="41"/>
      <c r="CJ164" s="53"/>
      <c r="CK164" s="43">
        <f>CM164+CO164+CQ164+CS164</f>
        <v>0</v>
      </c>
      <c r="CL164" s="41"/>
      <c r="CM164" s="40"/>
      <c r="CN164" s="41"/>
      <c r="CO164" s="40"/>
      <c r="CP164" s="41"/>
      <c r="CQ164" s="41"/>
      <c r="CR164" s="41"/>
      <c r="CS164" s="53"/>
      <c r="CT164" s="43">
        <f>CV164+CX164+CZ164+DB164</f>
        <v>0</v>
      </c>
      <c r="CU164" s="41"/>
      <c r="CV164" s="40"/>
      <c r="CW164" s="40"/>
      <c r="CX164" s="40"/>
      <c r="CY164" s="40"/>
      <c r="CZ164" s="40"/>
      <c r="DA164" s="41"/>
      <c r="DB164" s="53"/>
      <c r="DC164" s="43">
        <f>DE164+DG164+DI164+DK164</f>
        <v>0</v>
      </c>
      <c r="DD164" s="41"/>
      <c r="DE164" s="40"/>
      <c r="DF164" s="40"/>
      <c r="DG164" s="40"/>
      <c r="DH164" s="40"/>
      <c r="DI164" s="40"/>
      <c r="DJ164" s="41"/>
      <c r="DK164" s="53"/>
    </row>
    <row r="165" spans="1:115" s="1" customFormat="1" ht="15" customHeight="1" x14ac:dyDescent="0.3">
      <c r="A165" s="126"/>
      <c r="B165" s="127">
        <v>7190</v>
      </c>
      <c r="C165" s="128" t="s">
        <v>291</v>
      </c>
      <c r="D165" s="129">
        <v>2009</v>
      </c>
      <c r="E165" s="130">
        <f t="shared" si="59"/>
        <v>0</v>
      </c>
      <c r="F165" s="131" t="s">
        <v>170</v>
      </c>
      <c r="G165" s="37"/>
      <c r="H165" s="37" t="s">
        <v>292</v>
      </c>
      <c r="I165" s="37" t="s">
        <v>293</v>
      </c>
      <c r="J165" s="38"/>
      <c r="K165" s="39"/>
      <c r="L165" s="40"/>
      <c r="M165" s="41"/>
      <c r="N165" s="42"/>
      <c r="O165" s="38"/>
      <c r="P165" s="39"/>
      <c r="Q165" s="42"/>
      <c r="R165" s="43"/>
      <c r="S165" s="119"/>
      <c r="T165" s="45"/>
      <c r="U165" s="119"/>
      <c r="V165" s="45"/>
      <c r="W165" s="119"/>
      <c r="X165" s="45"/>
      <c r="Y165" s="119"/>
      <c r="Z165" s="45"/>
      <c r="AA165" s="119"/>
      <c r="AB165" s="78"/>
      <c r="AC165" s="82"/>
      <c r="AD165" s="119"/>
      <c r="AE165" s="45"/>
      <c r="AF165" s="119"/>
      <c r="AG165" s="45"/>
      <c r="AH165" s="119"/>
      <c r="AI165" s="45"/>
      <c r="AJ165" s="119"/>
      <c r="AK165" s="45"/>
      <c r="AL165" s="119"/>
      <c r="AM165" s="46"/>
      <c r="AN165" s="79"/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41"/>
      <c r="BC165" s="40"/>
      <c r="BD165" s="41"/>
      <c r="BE165" s="42"/>
      <c r="BF165" s="43"/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/>
      <c r="BR165" s="41"/>
      <c r="BS165" s="40"/>
      <c r="BT165" s="41"/>
      <c r="BU165" s="40"/>
      <c r="BV165" s="41"/>
      <c r="BW165" s="40"/>
      <c r="BX165" s="41"/>
      <c r="BY165" s="42"/>
      <c r="BZ165" s="43"/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42"/>
      <c r="CT165" s="43"/>
      <c r="CU165" s="41"/>
      <c r="CV165" s="40"/>
      <c r="CW165" s="40"/>
      <c r="CX165" s="40"/>
      <c r="CY165" s="40"/>
      <c r="CZ165" s="40"/>
      <c r="DA165" s="41"/>
      <c r="DB165" s="42"/>
      <c r="DC165" s="132">
        <f>DE165+DG165+DK165</f>
        <v>0</v>
      </c>
      <c r="DD165" s="41"/>
      <c r="DE165" s="40"/>
      <c r="DF165" s="41"/>
      <c r="DG165" s="40"/>
      <c r="DH165" s="35">
        <v>7</v>
      </c>
      <c r="DI165" s="35" t="s">
        <v>110</v>
      </c>
      <c r="DJ165" s="41"/>
      <c r="DK165" s="42"/>
    </row>
    <row r="166" spans="1:115" s="1" customFormat="1" ht="15" hidden="1" customHeight="1" x14ac:dyDescent="0.3">
      <c r="A166" s="2"/>
      <c r="B166" s="14">
        <v>6663</v>
      </c>
      <c r="C166" s="5" t="s">
        <v>71</v>
      </c>
      <c r="D166" s="15">
        <v>2009</v>
      </c>
      <c r="E166" s="16">
        <f t="shared" si="59"/>
        <v>0</v>
      </c>
      <c r="F166" s="37"/>
      <c r="G166" s="37"/>
      <c r="H166" s="37"/>
      <c r="I166" s="37"/>
      <c r="J166" s="38"/>
      <c r="K166" s="39"/>
      <c r="L166" s="40"/>
      <c r="M166" s="41"/>
      <c r="N166" s="42"/>
      <c r="O166" s="38"/>
      <c r="P166" s="39"/>
      <c r="Q166" s="42"/>
      <c r="R166" s="43"/>
      <c r="S166" s="119"/>
      <c r="T166" s="45"/>
      <c r="U166" s="119"/>
      <c r="V166" s="45"/>
      <c r="W166" s="119"/>
      <c r="X166" s="45"/>
      <c r="Y166" s="119"/>
      <c r="Z166" s="45"/>
      <c r="AA166" s="119"/>
      <c r="AB166" s="78"/>
      <c r="AC166" s="82"/>
      <c r="AD166" s="119"/>
      <c r="AE166" s="45"/>
      <c r="AF166" s="119"/>
      <c r="AG166" s="45"/>
      <c r="AH166" s="119"/>
      <c r="AI166" s="45"/>
      <c r="AJ166" s="119"/>
      <c r="AK166" s="45"/>
      <c r="AL166" s="119"/>
      <c r="AM166" s="46"/>
      <c r="AN166" s="79"/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/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/>
      <c r="BR166" s="41"/>
      <c r="BS166" s="40"/>
      <c r="BT166" s="41"/>
      <c r="BU166" s="40"/>
      <c r="BV166" s="41"/>
      <c r="BW166" s="40"/>
      <c r="BX166" s="41"/>
      <c r="BY166" s="42"/>
      <c r="BZ166" s="43"/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42"/>
      <c r="CT166" s="43"/>
      <c r="CU166" s="41"/>
      <c r="CV166" s="40"/>
      <c r="CW166" s="40"/>
      <c r="CX166" s="40"/>
      <c r="CY166" s="40"/>
      <c r="CZ166" s="40"/>
      <c r="DA166" s="41"/>
      <c r="DB166" s="42"/>
      <c r="DC166" s="43">
        <f>DE166+DG166+DI166+DK166</f>
        <v>0</v>
      </c>
      <c r="DD166" s="41"/>
      <c r="DE166" s="40"/>
      <c r="DF166" s="41"/>
      <c r="DG166" s="40"/>
      <c r="DH166" s="41"/>
      <c r="DI166" s="40"/>
      <c r="DJ166" s="41"/>
      <c r="DK166" s="42"/>
    </row>
    <row r="167" spans="1:115" s="1" customFormat="1" ht="15" hidden="1" customHeight="1" x14ac:dyDescent="0.3">
      <c r="A167" s="2"/>
      <c r="B167" s="14">
        <v>9514</v>
      </c>
      <c r="C167" s="5" t="s">
        <v>135</v>
      </c>
      <c r="D167" s="15">
        <v>2011</v>
      </c>
      <c r="E167" s="16">
        <f t="shared" si="59"/>
        <v>0</v>
      </c>
      <c r="F167" s="37"/>
      <c r="G167" s="37"/>
      <c r="H167" s="37"/>
      <c r="I167" s="37"/>
      <c r="J167" s="38"/>
      <c r="K167" s="39"/>
      <c r="L167" s="40"/>
      <c r="M167" s="41"/>
      <c r="N167" s="42"/>
      <c r="O167" s="38"/>
      <c r="P167" s="39"/>
      <c r="Q167" s="42"/>
      <c r="R167" s="43"/>
      <c r="S167" s="119"/>
      <c r="T167" s="45"/>
      <c r="U167" s="119"/>
      <c r="V167" s="45"/>
      <c r="W167" s="119"/>
      <c r="X167" s="45"/>
      <c r="Y167" s="119"/>
      <c r="Z167" s="45"/>
      <c r="AA167" s="119"/>
      <c r="AB167" s="78"/>
      <c r="AC167" s="82"/>
      <c r="AD167" s="119"/>
      <c r="AE167" s="45"/>
      <c r="AF167" s="119"/>
      <c r="AG167" s="45"/>
      <c r="AH167" s="119"/>
      <c r="AI167" s="45"/>
      <c r="AJ167" s="119"/>
      <c r="AK167" s="45"/>
      <c r="AL167" s="119"/>
      <c r="AM167" s="46"/>
      <c r="AN167" s="79"/>
      <c r="AO167" s="41"/>
      <c r="AP167" s="40"/>
      <c r="AQ167" s="41"/>
      <c r="AR167" s="40"/>
      <c r="AS167" s="41"/>
      <c r="AT167" s="40"/>
      <c r="AU167" s="41"/>
      <c r="AV167" s="42"/>
      <c r="AW167" s="43"/>
      <c r="AX167" s="41"/>
      <c r="AY167" s="40"/>
      <c r="AZ167" s="41"/>
      <c r="BA167" s="40"/>
      <c r="BB167" s="41"/>
      <c r="BC167" s="40"/>
      <c r="BD167" s="41"/>
      <c r="BE167" s="42"/>
      <c r="BF167" s="43"/>
      <c r="BG167" s="41"/>
      <c r="BH167" s="40"/>
      <c r="BI167" s="41"/>
      <c r="BJ167" s="40"/>
      <c r="BK167" s="41"/>
      <c r="BL167" s="40"/>
      <c r="BM167" s="41"/>
      <c r="BN167" s="40"/>
      <c r="BO167" s="41"/>
      <c r="BP167" s="42"/>
      <c r="BQ167" s="43"/>
      <c r="BR167" s="41"/>
      <c r="BS167" s="40"/>
      <c r="BT167" s="41"/>
      <c r="BU167" s="40"/>
      <c r="BV167" s="41"/>
      <c r="BW167" s="40"/>
      <c r="BX167" s="41"/>
      <c r="BY167" s="42"/>
      <c r="BZ167" s="43"/>
      <c r="CA167" s="106"/>
      <c r="CB167" s="102"/>
      <c r="CC167" s="41"/>
      <c r="CD167" s="40"/>
      <c r="CE167" s="41"/>
      <c r="CF167" s="40"/>
      <c r="CG167" s="41"/>
      <c r="CH167" s="40"/>
      <c r="CI167" s="41"/>
      <c r="CJ167" s="42"/>
      <c r="CK167" s="43"/>
      <c r="CL167" s="41"/>
      <c r="CM167" s="40"/>
      <c r="CN167" s="41"/>
      <c r="CO167" s="40"/>
      <c r="CP167" s="41"/>
      <c r="CQ167" s="40"/>
      <c r="CR167" s="41"/>
      <c r="CS167" s="42"/>
      <c r="CT167" s="43"/>
      <c r="CU167" s="41"/>
      <c r="CV167" s="40"/>
      <c r="CW167" s="41"/>
      <c r="CX167" s="40"/>
      <c r="CY167" s="40"/>
      <c r="CZ167" s="40"/>
      <c r="DA167" s="41"/>
      <c r="DB167" s="42"/>
      <c r="DC167" s="43">
        <f>DE167+DG167+DI167+DK167</f>
        <v>0</v>
      </c>
      <c r="DD167" s="41"/>
      <c r="DE167" s="40"/>
      <c r="DF167" s="41"/>
      <c r="DG167" s="40"/>
      <c r="DH167" s="41"/>
      <c r="DI167" s="40"/>
      <c r="DJ167" s="41"/>
      <c r="DK167" s="42"/>
    </row>
    <row r="168" spans="1:115" s="1" customFormat="1" ht="15" hidden="1" customHeight="1" x14ac:dyDescent="0.3">
      <c r="A168" s="2"/>
      <c r="B168" s="14">
        <v>7458</v>
      </c>
      <c r="C168" s="5" t="s">
        <v>122</v>
      </c>
      <c r="D168" s="15">
        <v>2010</v>
      </c>
      <c r="E168" s="16">
        <f t="shared" si="59"/>
        <v>0</v>
      </c>
      <c r="F168" s="37"/>
      <c r="G168" s="37"/>
      <c r="H168" s="37"/>
      <c r="I168" s="37"/>
      <c r="J168" s="38"/>
      <c r="K168" s="39"/>
      <c r="L168" s="40"/>
      <c r="M168" s="41"/>
      <c r="N168" s="42"/>
      <c r="O168" s="38"/>
      <c r="P168" s="39"/>
      <c r="Q168" s="42"/>
      <c r="R168" s="43"/>
      <c r="S168" s="119"/>
      <c r="T168" s="45"/>
      <c r="U168" s="119"/>
      <c r="V168" s="45"/>
      <c r="W168" s="119"/>
      <c r="X168" s="45"/>
      <c r="Y168" s="119"/>
      <c r="Z168" s="45"/>
      <c r="AA168" s="119"/>
      <c r="AB168" s="78"/>
      <c r="AC168" s="82"/>
      <c r="AD168" s="119"/>
      <c r="AE168" s="45"/>
      <c r="AF168" s="119"/>
      <c r="AG168" s="45"/>
      <c r="AH168" s="119"/>
      <c r="AI168" s="45"/>
      <c r="AJ168" s="119"/>
      <c r="AK168" s="45"/>
      <c r="AL168" s="119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42"/>
      <c r="BF168" s="43"/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/>
      <c r="BR168" s="41"/>
      <c r="BS168" s="40"/>
      <c r="BT168" s="41"/>
      <c r="BU168" s="40"/>
      <c r="BV168" s="41"/>
      <c r="BW168" s="40"/>
      <c r="BX168" s="41"/>
      <c r="BY168" s="42"/>
      <c r="BZ168" s="43"/>
      <c r="CA168" s="106"/>
      <c r="CB168" s="102"/>
      <c r="CC168" s="41"/>
      <c r="CD168" s="40"/>
      <c r="CE168" s="41"/>
      <c r="CF168" s="40"/>
      <c r="CG168" s="41"/>
      <c r="CH168" s="40"/>
      <c r="CI168" s="41"/>
      <c r="CJ168" s="42"/>
      <c r="CK168" s="43"/>
      <c r="CL168" s="41"/>
      <c r="CM168" s="40"/>
      <c r="CN168" s="41"/>
      <c r="CO168" s="40"/>
      <c r="CP168" s="41"/>
      <c r="CQ168" s="40"/>
      <c r="CR168" s="41"/>
      <c r="CS168" s="42"/>
      <c r="CT168" s="43"/>
      <c r="CU168" s="41"/>
      <c r="CV168" s="40"/>
      <c r="CW168" s="40"/>
      <c r="CX168" s="40"/>
      <c r="CY168" s="40"/>
      <c r="CZ168" s="40"/>
      <c r="DA168" s="41"/>
      <c r="DB168" s="42"/>
      <c r="DC168" s="43">
        <f>DE168+DG168+DI168+DK168</f>
        <v>0</v>
      </c>
      <c r="DD168" s="41"/>
      <c r="DE168" s="40"/>
      <c r="DF168" s="41"/>
      <c r="DG168" s="40"/>
      <c r="DH168" s="41"/>
      <c r="DI168" s="40"/>
      <c r="DJ168" s="41"/>
      <c r="DK168" s="42"/>
    </row>
    <row r="169" spans="1:115" s="1" customFormat="1" ht="15" hidden="1" customHeight="1" x14ac:dyDescent="0.3">
      <c r="A169" s="2"/>
      <c r="B169" s="14">
        <v>9845</v>
      </c>
      <c r="C169" s="5" t="s">
        <v>256</v>
      </c>
      <c r="D169" s="15">
        <v>2011</v>
      </c>
      <c r="E169" s="16">
        <f t="shared" si="59"/>
        <v>0</v>
      </c>
      <c r="F169" s="37" t="s">
        <v>149</v>
      </c>
      <c r="G169" s="37"/>
      <c r="H169" s="37" t="s">
        <v>150</v>
      </c>
      <c r="I169" s="37" t="s">
        <v>257</v>
      </c>
      <c r="J169" s="38"/>
      <c r="K169" s="39"/>
      <c r="L169" s="40"/>
      <c r="M169" s="41"/>
      <c r="N169" s="42"/>
      <c r="O169" s="38"/>
      <c r="P169" s="39"/>
      <c r="Q169" s="42"/>
      <c r="R169" s="43"/>
      <c r="S169" s="119"/>
      <c r="T169" s="45"/>
      <c r="U169" s="119"/>
      <c r="V169" s="45"/>
      <c r="W169" s="119"/>
      <c r="X169" s="45"/>
      <c r="Y169" s="119"/>
      <c r="Z169" s="45"/>
      <c r="AA169" s="119"/>
      <c r="AB169" s="78"/>
      <c r="AC169" s="82"/>
      <c r="AD169" s="119"/>
      <c r="AE169" s="45"/>
      <c r="AF169" s="119"/>
      <c r="AG169" s="45"/>
      <c r="AH169" s="119"/>
      <c r="AI169" s="45"/>
      <c r="AJ169" s="119"/>
      <c r="AK169" s="45"/>
      <c r="AL169" s="119"/>
      <c r="AM169" s="46"/>
      <c r="AN169" s="79"/>
      <c r="AO169" s="41"/>
      <c r="AP169" s="40"/>
      <c r="AQ169" s="41"/>
      <c r="AR169" s="40"/>
      <c r="AS169" s="41"/>
      <c r="AT169" s="40"/>
      <c r="AU169" s="41"/>
      <c r="AV169" s="42"/>
      <c r="AW169" s="43"/>
      <c r="AX169" s="41"/>
      <c r="AY169" s="40"/>
      <c r="AZ169" s="41"/>
      <c r="BA169" s="40"/>
      <c r="BB169" s="41"/>
      <c r="BC169" s="40"/>
      <c r="BD169" s="41"/>
      <c r="BE169" s="42"/>
      <c r="BF169" s="43"/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/>
      <c r="BR169" s="41"/>
      <c r="BS169" s="40"/>
      <c r="BT169" s="41"/>
      <c r="BU169" s="40"/>
      <c r="BV169" s="41"/>
      <c r="BW169" s="40"/>
      <c r="BX169" s="41"/>
      <c r="BY169" s="42"/>
      <c r="BZ169" s="43"/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/>
      <c r="CL169" s="41"/>
      <c r="CM169" s="40"/>
      <c r="CN169" s="41"/>
      <c r="CO169" s="40"/>
      <c r="CP169" s="41"/>
      <c r="CQ169" s="40"/>
      <c r="CR169" s="41"/>
      <c r="CS169" s="42"/>
      <c r="CT169" s="43"/>
      <c r="CU169" s="41"/>
      <c r="CV169" s="40"/>
      <c r="CW169" s="35"/>
      <c r="CX169" s="34"/>
      <c r="CY169" s="40"/>
      <c r="CZ169" s="40"/>
      <c r="DA169" s="41"/>
      <c r="DB169" s="42"/>
      <c r="DC169" s="43">
        <f>DE169+DG169+DI169+DK169</f>
        <v>0</v>
      </c>
      <c r="DD169" s="41"/>
      <c r="DE169" s="40"/>
      <c r="DF169" s="41"/>
      <c r="DG169" s="40"/>
      <c r="DH169" s="41"/>
      <c r="DI169" s="40"/>
      <c r="DJ169" s="41"/>
      <c r="DK169" s="42"/>
    </row>
    <row r="170" spans="1:115" s="1" customFormat="1" ht="15" hidden="1" customHeight="1" x14ac:dyDescent="0.3">
      <c r="A170" s="2"/>
      <c r="B170" s="14">
        <v>6644</v>
      </c>
      <c r="C170" s="5" t="s">
        <v>94</v>
      </c>
      <c r="D170" s="15">
        <v>2009</v>
      </c>
      <c r="E170" s="16">
        <f t="shared" si="59"/>
        <v>0</v>
      </c>
      <c r="F170" s="37"/>
      <c r="G170" s="37"/>
      <c r="H170" s="37"/>
      <c r="I170" s="37"/>
      <c r="J170" s="38"/>
      <c r="K170" s="39"/>
      <c r="L170" s="40"/>
      <c r="M170" s="41"/>
      <c r="N170" s="42"/>
      <c r="O170" s="38"/>
      <c r="P170" s="39"/>
      <c r="Q170" s="42"/>
      <c r="R170" s="43"/>
      <c r="S170" s="119"/>
      <c r="T170" s="45"/>
      <c r="U170" s="119"/>
      <c r="V170" s="45"/>
      <c r="W170" s="119"/>
      <c r="X170" s="45"/>
      <c r="Y170" s="119"/>
      <c r="Z170" s="45"/>
      <c r="AA170" s="119"/>
      <c r="AB170" s="78"/>
      <c r="AC170" s="82"/>
      <c r="AD170" s="119"/>
      <c r="AE170" s="45"/>
      <c r="AF170" s="119"/>
      <c r="AG170" s="45"/>
      <c r="AH170" s="119"/>
      <c r="AI170" s="45"/>
      <c r="AJ170" s="119"/>
      <c r="AK170" s="45"/>
      <c r="AL170" s="119"/>
      <c r="AM170" s="46"/>
      <c r="AN170" s="79"/>
      <c r="AO170" s="41"/>
      <c r="AP170" s="40"/>
      <c r="AQ170" s="41"/>
      <c r="AR170" s="40"/>
      <c r="AS170" s="41"/>
      <c r="AT170" s="40"/>
      <c r="AU170" s="41"/>
      <c r="AV170" s="42"/>
      <c r="AW170" s="43"/>
      <c r="AX170" s="41"/>
      <c r="AY170" s="40"/>
      <c r="AZ170" s="41"/>
      <c r="BA170" s="40"/>
      <c r="BB170" s="41"/>
      <c r="BC170" s="40"/>
      <c r="BD170" s="41"/>
      <c r="BE170" s="42"/>
      <c r="BF170" s="43"/>
      <c r="BG170" s="41"/>
      <c r="BH170" s="40"/>
      <c r="BI170" s="41"/>
      <c r="BJ170" s="40"/>
      <c r="BK170" s="41"/>
      <c r="BL170" s="40"/>
      <c r="BM170" s="41"/>
      <c r="BN170" s="40"/>
      <c r="BO170" s="41"/>
      <c r="BP170" s="42"/>
      <c r="BQ170" s="43"/>
      <c r="BR170" s="41"/>
      <c r="BS170" s="40"/>
      <c r="BT170" s="41"/>
      <c r="BU170" s="40"/>
      <c r="BV170" s="41"/>
      <c r="BW170" s="40"/>
      <c r="BX170" s="41"/>
      <c r="BY170" s="42"/>
      <c r="BZ170" s="43"/>
      <c r="CA170" s="106"/>
      <c r="CB170" s="102"/>
      <c r="CC170" s="41"/>
      <c r="CD170" s="40"/>
      <c r="CE170" s="41"/>
      <c r="CF170" s="40"/>
      <c r="CG170" s="41"/>
      <c r="CH170" s="40"/>
      <c r="CI170" s="41"/>
      <c r="CJ170" s="42"/>
      <c r="CK170" s="43"/>
      <c r="CL170" s="41"/>
      <c r="CM170" s="40"/>
      <c r="CN170" s="41"/>
      <c r="CO170" s="40"/>
      <c r="CP170" s="41"/>
      <c r="CQ170" s="40"/>
      <c r="CR170" s="41"/>
      <c r="CS170" s="42"/>
      <c r="CT170" s="43"/>
      <c r="CU170" s="41"/>
      <c r="CV170" s="40"/>
      <c r="CW170" s="40"/>
      <c r="CX170" s="40"/>
      <c r="CY170" s="40"/>
      <c r="CZ170" s="40"/>
      <c r="DA170" s="41"/>
      <c r="DB170" s="42"/>
      <c r="DC170" s="43">
        <f>DE170+DG170+DI170+DK170</f>
        <v>0</v>
      </c>
      <c r="DD170" s="41"/>
      <c r="DE170" s="40"/>
      <c r="DF170" s="41"/>
      <c r="DG170" s="40"/>
      <c r="DH170" s="41"/>
      <c r="DI170" s="40"/>
      <c r="DJ170" s="41"/>
      <c r="DK170" s="42"/>
    </row>
    <row r="171" spans="1:115" s="1" customFormat="1" ht="15" customHeight="1" thickBot="1" x14ac:dyDescent="0.35">
      <c r="A171" s="18"/>
      <c r="B171" s="13"/>
      <c r="C171" s="19"/>
      <c r="D171" s="20"/>
      <c r="E171" s="21"/>
      <c r="F171" s="64"/>
      <c r="G171" s="64"/>
      <c r="H171" s="64"/>
      <c r="I171" s="64"/>
      <c r="J171" s="65"/>
      <c r="K171" s="66"/>
      <c r="L171" s="67"/>
      <c r="M171" s="66"/>
      <c r="N171" s="68"/>
      <c r="O171" s="65"/>
      <c r="P171" s="66"/>
      <c r="Q171" s="68"/>
      <c r="R171" s="69"/>
      <c r="S171" s="70"/>
      <c r="T171" s="71"/>
      <c r="U171" s="70"/>
      <c r="V171" s="71"/>
      <c r="W171" s="70"/>
      <c r="X171" s="71"/>
      <c r="Y171" s="70"/>
      <c r="Z171" s="71"/>
      <c r="AA171" s="70"/>
      <c r="AB171" s="71"/>
      <c r="AC171" s="83"/>
      <c r="AD171" s="70"/>
      <c r="AE171" s="71"/>
      <c r="AF171" s="70"/>
      <c r="AG171" s="71"/>
      <c r="AH171" s="70"/>
      <c r="AI171" s="71"/>
      <c r="AJ171" s="70"/>
      <c r="AK171" s="71"/>
      <c r="AL171" s="70"/>
      <c r="AM171" s="72"/>
      <c r="AN171" s="80"/>
      <c r="AO171" s="66"/>
      <c r="AP171" s="67"/>
      <c r="AQ171" s="66"/>
      <c r="AR171" s="67"/>
      <c r="AS171" s="66"/>
      <c r="AT171" s="67"/>
      <c r="AU171" s="66"/>
      <c r="AV171" s="68"/>
      <c r="AW171" s="69"/>
      <c r="AX171" s="66"/>
      <c r="AY171" s="67"/>
      <c r="AZ171" s="66"/>
      <c r="BA171" s="67"/>
      <c r="BB171" s="66"/>
      <c r="BC171" s="67"/>
      <c r="BD171" s="66"/>
      <c r="BE171" s="73"/>
      <c r="BF171" s="69"/>
      <c r="BG171" s="66"/>
      <c r="BH171" s="67"/>
      <c r="BI171" s="66"/>
      <c r="BJ171" s="67"/>
      <c r="BK171" s="66"/>
      <c r="BL171" s="67"/>
      <c r="BM171" s="66"/>
      <c r="BN171" s="67"/>
      <c r="BO171" s="66"/>
      <c r="BP171" s="73"/>
      <c r="BQ171" s="69"/>
      <c r="BR171" s="66"/>
      <c r="BS171" s="67"/>
      <c r="BT171" s="66"/>
      <c r="BU171" s="67"/>
      <c r="BV171" s="66"/>
      <c r="BW171" s="67"/>
      <c r="BX171" s="66"/>
      <c r="BY171" s="73"/>
      <c r="BZ171" s="69"/>
      <c r="CA171" s="108"/>
      <c r="CB171" s="104"/>
      <c r="CC171" s="66"/>
      <c r="CD171" s="67"/>
      <c r="CE171" s="66"/>
      <c r="CF171" s="67"/>
      <c r="CG171" s="66"/>
      <c r="CH171" s="67"/>
      <c r="CI171" s="66"/>
      <c r="CJ171" s="73"/>
      <c r="CK171" s="69"/>
      <c r="CL171" s="66"/>
      <c r="CM171" s="67"/>
      <c r="CN171" s="66"/>
      <c r="CO171" s="67"/>
      <c r="CP171" s="66"/>
      <c r="CQ171" s="67"/>
      <c r="CR171" s="66"/>
      <c r="CS171" s="73"/>
      <c r="CT171" s="69"/>
      <c r="CU171" s="66"/>
      <c r="CV171" s="67"/>
      <c r="CW171" s="66"/>
      <c r="CX171" s="67"/>
      <c r="CY171" s="67"/>
      <c r="CZ171" s="67"/>
      <c r="DA171" s="66"/>
      <c r="DB171" s="73"/>
      <c r="DC171" s="69"/>
      <c r="DD171" s="66"/>
      <c r="DE171" s="67"/>
      <c r="DF171" s="66"/>
      <c r="DG171" s="67"/>
      <c r="DH171" s="66"/>
      <c r="DI171" s="67"/>
      <c r="DJ171" s="66"/>
      <c r="DK171" s="73"/>
    </row>
    <row r="172" spans="1:115" s="1" customFormat="1" ht="15" customHeight="1" x14ac:dyDescent="0.3">
      <c r="A172" s="2"/>
      <c r="B172" s="14"/>
      <c r="C172" s="5"/>
      <c r="D172" s="5"/>
      <c r="E172" s="22"/>
      <c r="F172" s="55"/>
      <c r="G172" s="55"/>
      <c r="H172" s="55"/>
      <c r="I172" s="55"/>
      <c r="J172" s="56"/>
      <c r="K172" s="57"/>
      <c r="L172" s="58"/>
      <c r="M172" s="57"/>
      <c r="N172" s="58"/>
      <c r="O172" s="56"/>
      <c r="P172" s="57"/>
      <c r="Q172" s="58"/>
      <c r="R172" s="59"/>
      <c r="S172" s="60"/>
      <c r="T172" s="61"/>
      <c r="U172" s="60"/>
      <c r="V172" s="61"/>
      <c r="W172" s="60"/>
      <c r="X172" s="61"/>
      <c r="Y172" s="60"/>
      <c r="Z172" s="61"/>
      <c r="AA172" s="60"/>
      <c r="AB172" s="61"/>
      <c r="AC172" s="84"/>
      <c r="AD172" s="60"/>
      <c r="AE172" s="61"/>
      <c r="AF172" s="60"/>
      <c r="AG172" s="61"/>
      <c r="AH172" s="60"/>
      <c r="AI172" s="61"/>
      <c r="AJ172" s="60"/>
      <c r="AK172" s="61"/>
      <c r="AL172" s="60"/>
      <c r="AM172" s="61"/>
      <c r="AN172" s="59"/>
      <c r="AO172" s="57"/>
      <c r="AP172" s="58"/>
      <c r="AQ172" s="57"/>
      <c r="AR172" s="58"/>
      <c r="AS172" s="57"/>
      <c r="AT172" s="58"/>
      <c r="AU172" s="57"/>
      <c r="AV172" s="58"/>
      <c r="AW172" s="59"/>
      <c r="AX172" s="57"/>
      <c r="AY172" s="58"/>
      <c r="AZ172" s="57"/>
      <c r="BA172" s="58"/>
      <c r="BB172" s="57"/>
      <c r="BC172" s="58"/>
      <c r="BD172" s="57"/>
      <c r="BE172" s="58"/>
      <c r="BF172" s="59"/>
      <c r="BG172" s="57"/>
      <c r="BH172" s="58"/>
      <c r="BI172" s="57"/>
      <c r="BJ172" s="58"/>
      <c r="BK172" s="57"/>
      <c r="BL172" s="58"/>
      <c r="BM172" s="57"/>
      <c r="BN172" s="58"/>
      <c r="BO172" s="57"/>
      <c r="BP172" s="58"/>
      <c r="BQ172" s="59"/>
      <c r="BR172" s="57"/>
      <c r="BS172" s="58"/>
      <c r="BT172" s="57"/>
      <c r="BU172" s="58"/>
      <c r="BV172" s="57"/>
      <c r="BW172" s="58"/>
      <c r="BX172" s="57"/>
      <c r="BY172" s="58"/>
      <c r="BZ172" s="59"/>
      <c r="CA172" s="109"/>
      <c r="CB172" s="105"/>
      <c r="CC172" s="57"/>
      <c r="CD172" s="58"/>
      <c r="CE172" s="57"/>
      <c r="CF172" s="58"/>
      <c r="CG172" s="57"/>
      <c r="CH172" s="58"/>
      <c r="CI172" s="57"/>
      <c r="CJ172" s="58"/>
      <c r="CK172" s="59"/>
      <c r="CL172" s="57"/>
      <c r="CM172" s="58"/>
      <c r="CN172" s="57"/>
      <c r="CO172" s="58"/>
      <c r="CP172" s="57"/>
      <c r="CQ172" s="58"/>
      <c r="CR172" s="57"/>
      <c r="CS172" s="58"/>
      <c r="CT172" s="59"/>
      <c r="CU172" s="57"/>
      <c r="CV172" s="58"/>
      <c r="CW172" s="57"/>
      <c r="CX172" s="58"/>
      <c r="CY172" s="58"/>
      <c r="CZ172" s="58"/>
      <c r="DA172" s="57"/>
      <c r="DB172" s="58"/>
      <c r="DC172" s="59"/>
      <c r="DD172" s="57"/>
      <c r="DE172" s="58"/>
      <c r="DF172" s="57"/>
      <c r="DG172" s="58"/>
      <c r="DH172" s="57"/>
      <c r="DI172" s="58"/>
      <c r="DJ172" s="57"/>
      <c r="DK172" s="58"/>
    </row>
    <row r="173" spans="1:115" s="1" customFormat="1" x14ac:dyDescent="0.3">
      <c r="A173" s="2"/>
      <c r="B173" s="3"/>
      <c r="C173" s="5"/>
      <c r="D173" s="5"/>
      <c r="E173" s="6"/>
      <c r="F173" s="62"/>
      <c r="G173" s="62"/>
      <c r="H173" s="62"/>
      <c r="I173" s="62"/>
      <c r="J173" s="6"/>
      <c r="K173" s="6"/>
      <c r="L173" s="6"/>
      <c r="M173" s="6"/>
      <c r="N173" s="6"/>
      <c r="O173" s="6"/>
      <c r="P173" s="6"/>
      <c r="Q173" s="6"/>
      <c r="R173" s="5"/>
      <c r="S173" s="5"/>
      <c r="T173" s="63"/>
      <c r="U173" s="5"/>
      <c r="V173" s="5"/>
      <c r="W173" s="5"/>
      <c r="X173" s="63"/>
      <c r="Y173" s="5"/>
      <c r="Z173" s="5"/>
      <c r="AA173" s="5"/>
      <c r="AB173" s="5"/>
      <c r="AC173" s="8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6"/>
      <c r="AP173" s="6"/>
      <c r="AQ173" s="6"/>
      <c r="AR173" s="6"/>
      <c r="AS173" s="6"/>
      <c r="AT173" s="6"/>
      <c r="AU173" s="6"/>
      <c r="AV173" s="6"/>
      <c r="AW173" s="5"/>
      <c r="AX173" s="6"/>
      <c r="AY173" s="6"/>
      <c r="AZ173" s="6"/>
      <c r="BA173" s="6"/>
      <c r="BB173" s="6"/>
      <c r="BC173" s="6"/>
      <c r="BD173" s="6"/>
      <c r="BE173" s="6"/>
      <c r="BF173" s="5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5"/>
      <c r="BR173" s="6"/>
      <c r="BS173" s="6"/>
      <c r="BT173" s="6"/>
      <c r="BU173" s="6"/>
      <c r="BV173" s="6"/>
      <c r="BW173" s="6"/>
      <c r="BX173" s="6"/>
      <c r="BY173" s="6"/>
      <c r="BZ173" s="5"/>
      <c r="CA173" s="101"/>
      <c r="CB173" s="101"/>
      <c r="CC173" s="6"/>
      <c r="CD173" s="6"/>
      <c r="CE173" s="6"/>
      <c r="CF173" s="6"/>
      <c r="CG173" s="6"/>
      <c r="CH173" s="6"/>
      <c r="CI173" s="6"/>
      <c r="CJ173" s="6"/>
      <c r="CK173" s="5"/>
      <c r="CL173" s="6"/>
      <c r="CM173" s="6"/>
      <c r="CN173" s="6"/>
      <c r="CO173" s="6"/>
      <c r="CP173" s="6"/>
      <c r="CQ173" s="6"/>
      <c r="CR173" s="6"/>
      <c r="CS173" s="6"/>
      <c r="CT173" s="5"/>
      <c r="CU173" s="6"/>
      <c r="CV173" s="6"/>
      <c r="CW173" s="6"/>
      <c r="CX173" s="6"/>
      <c r="CY173" s="6"/>
      <c r="CZ173" s="6"/>
      <c r="DA173" s="6"/>
      <c r="DB173" s="6"/>
      <c r="DC173" s="5"/>
      <c r="DD173" s="6"/>
      <c r="DE173" s="6"/>
      <c r="DF173" s="6"/>
      <c r="DG173" s="6"/>
      <c r="DH173" s="6"/>
      <c r="DI173" s="6"/>
      <c r="DJ173" s="6"/>
      <c r="DK173" s="6"/>
    </row>
    <row r="174" spans="1:115" s="1" customFormat="1" x14ac:dyDescent="0.3">
      <c r="A174" s="2"/>
      <c r="B174" s="3"/>
      <c r="C174" s="5"/>
      <c r="D174" s="5"/>
      <c r="E174" s="6"/>
      <c r="F174" s="62"/>
      <c r="G174" s="62"/>
      <c r="H174" s="62"/>
      <c r="I174" s="62"/>
      <c r="J174" s="6"/>
      <c r="K174" s="6"/>
      <c r="L174" s="6"/>
      <c r="M174" s="6"/>
      <c r="N174" s="6"/>
      <c r="O174" s="6"/>
      <c r="P174" s="6"/>
      <c r="Q174" s="6"/>
      <c r="R174" s="5"/>
      <c r="S174" s="5"/>
      <c r="T174" s="63"/>
      <c r="U174" s="5"/>
      <c r="V174" s="5"/>
      <c r="W174" s="5"/>
      <c r="X174" s="63"/>
      <c r="Y174" s="5"/>
      <c r="Z174" s="5"/>
      <c r="AA174" s="5"/>
      <c r="AB174" s="5"/>
      <c r="AC174" s="8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6"/>
      <c r="AP174" s="6"/>
      <c r="AQ174" s="6"/>
      <c r="AR174" s="6"/>
      <c r="AS174" s="6"/>
      <c r="AT174" s="6"/>
      <c r="AU174" s="6"/>
      <c r="AV174" s="6"/>
      <c r="AW174" s="5"/>
      <c r="AX174" s="6"/>
      <c r="AY174" s="6"/>
      <c r="AZ174" s="6"/>
      <c r="BA174" s="6"/>
      <c r="BB174" s="6"/>
      <c r="BC174" s="6"/>
      <c r="BD174" s="6"/>
      <c r="BE174" s="6"/>
      <c r="BF174" s="5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5"/>
      <c r="BR174" s="6"/>
      <c r="BS174" s="6"/>
      <c r="BT174" s="6"/>
      <c r="BU174" s="6"/>
      <c r="BV174" s="6"/>
      <c r="BW174" s="6"/>
      <c r="BX174" s="6"/>
      <c r="BY174" s="6"/>
      <c r="BZ174" s="5"/>
      <c r="CA174" s="101"/>
      <c r="CB174" s="101"/>
      <c r="CC174" s="6"/>
      <c r="CD174" s="6"/>
      <c r="CE174" s="6"/>
      <c r="CF174" s="6"/>
      <c r="CG174" s="6"/>
      <c r="CH174" s="6"/>
      <c r="CI174" s="6"/>
      <c r="CJ174" s="6"/>
      <c r="CK174" s="5"/>
      <c r="CL174" s="6"/>
      <c r="CM174" s="6"/>
      <c r="CN174" s="6"/>
      <c r="CO174" s="6"/>
      <c r="CP174" s="6"/>
      <c r="CQ174" s="6"/>
      <c r="CR174" s="6"/>
      <c r="CS174" s="6"/>
      <c r="CT174" s="5"/>
      <c r="CU174" s="6"/>
      <c r="CV174" s="6"/>
      <c r="CW174" s="6"/>
      <c r="CX174" s="6"/>
      <c r="CY174" s="6"/>
      <c r="CZ174" s="6"/>
      <c r="DA174" s="6"/>
      <c r="DB174" s="6"/>
      <c r="DC174" s="5"/>
      <c r="DD174" s="6"/>
      <c r="DE174" s="6"/>
      <c r="DF174" s="6"/>
      <c r="DG174" s="6"/>
      <c r="DH174" s="6"/>
      <c r="DI174" s="6"/>
      <c r="DJ174" s="6"/>
      <c r="DK174" s="6"/>
    </row>
    <row r="175" spans="1:115" s="1" customFormat="1" x14ac:dyDescent="0.3">
      <c r="A175" s="2"/>
      <c r="B175" s="3"/>
      <c r="C175" s="5"/>
      <c r="D175" s="5"/>
      <c r="E175" s="6"/>
      <c r="F175" s="62"/>
      <c r="G175" s="62"/>
      <c r="H175" s="62"/>
      <c r="I175" s="62"/>
      <c r="J175" s="6"/>
      <c r="K175" s="6"/>
      <c r="L175" s="6"/>
      <c r="M175" s="6"/>
      <c r="N175" s="6"/>
      <c r="O175" s="6"/>
      <c r="P175" s="6"/>
      <c r="Q175" s="6"/>
      <c r="R175" s="5"/>
      <c r="S175" s="5"/>
      <c r="T175" s="63"/>
      <c r="U175" s="5"/>
      <c r="V175" s="5"/>
      <c r="W175" s="5"/>
      <c r="X175" s="63"/>
      <c r="Y175" s="5"/>
      <c r="Z175" s="5"/>
      <c r="AA175" s="5"/>
      <c r="AB175" s="5"/>
      <c r="AC175" s="8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6"/>
      <c r="AP175" s="6"/>
      <c r="AQ175" s="6"/>
      <c r="AR175" s="6"/>
      <c r="AS175" s="6"/>
      <c r="AT175" s="6"/>
      <c r="AU175" s="6"/>
      <c r="AV175" s="6"/>
      <c r="AW175" s="5"/>
      <c r="AX175" s="6"/>
      <c r="AY175" s="6"/>
      <c r="AZ175" s="6"/>
      <c r="BA175" s="6"/>
      <c r="BB175" s="6"/>
      <c r="BC175" s="6"/>
      <c r="BD175" s="6"/>
      <c r="BE175" s="6"/>
      <c r="BF175" s="5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5"/>
      <c r="BR175" s="6"/>
      <c r="BS175" s="6"/>
      <c r="BT175" s="6"/>
      <c r="BU175" s="6"/>
      <c r="BV175" s="6"/>
      <c r="BW175" s="6"/>
      <c r="BX175" s="6"/>
      <c r="BY175" s="6"/>
      <c r="BZ175" s="5"/>
      <c r="CA175" s="101"/>
      <c r="CB175" s="101"/>
      <c r="CC175" s="6"/>
      <c r="CD175" s="6"/>
      <c r="CE175" s="6"/>
      <c r="CF175" s="6"/>
      <c r="CG175" s="6"/>
      <c r="CH175" s="6"/>
      <c r="CI175" s="6"/>
      <c r="CJ175" s="6"/>
      <c r="CK175" s="5"/>
      <c r="CL175" s="6"/>
      <c r="CM175" s="6"/>
      <c r="CN175" s="6"/>
      <c r="CO175" s="6"/>
      <c r="CP175" s="6"/>
      <c r="CQ175" s="6"/>
      <c r="CR175" s="6"/>
      <c r="CS175" s="6"/>
      <c r="CT175" s="5"/>
      <c r="CU175" s="6"/>
      <c r="CV175" s="6"/>
      <c r="CW175" s="6"/>
      <c r="CX175" s="6"/>
      <c r="CY175" s="6"/>
      <c r="CZ175" s="6"/>
      <c r="DA175" s="6"/>
      <c r="DB175" s="6"/>
      <c r="DC175" s="5"/>
      <c r="DD175" s="6"/>
      <c r="DE175" s="6"/>
      <c r="DF175" s="6"/>
      <c r="DG175" s="6"/>
      <c r="DH175" s="6"/>
      <c r="DI175" s="6"/>
      <c r="DJ175" s="6"/>
      <c r="DK175" s="6"/>
    </row>
    <row r="176" spans="1:115" s="1" customFormat="1" x14ac:dyDescent="0.3">
      <c r="A176" s="2"/>
      <c r="B176" s="3"/>
      <c r="C176" s="5"/>
      <c r="D176" s="5"/>
      <c r="E176" s="6"/>
      <c r="F176" s="62"/>
      <c r="G176" s="62"/>
      <c r="H176" s="62"/>
      <c r="I176" s="62"/>
      <c r="J176" s="6"/>
      <c r="K176" s="6"/>
      <c r="L176" s="6"/>
      <c r="M176" s="6"/>
      <c r="N176" s="6"/>
      <c r="O176" s="6"/>
      <c r="P176" s="6"/>
      <c r="Q176" s="6"/>
      <c r="R176" s="5"/>
      <c r="S176" s="5"/>
      <c r="T176" s="63"/>
      <c r="U176" s="5"/>
      <c r="V176" s="5"/>
      <c r="W176" s="5"/>
      <c r="X176" s="63"/>
      <c r="Y176" s="5"/>
      <c r="Z176" s="5"/>
      <c r="AA176" s="5"/>
      <c r="AB176" s="5"/>
      <c r="AC176" s="8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6"/>
      <c r="AP176" s="6"/>
      <c r="AQ176" s="6"/>
      <c r="AR176" s="6"/>
      <c r="AS176" s="6"/>
      <c r="AT176" s="6"/>
      <c r="AU176" s="6"/>
      <c r="AV176" s="6"/>
      <c r="AW176" s="5"/>
      <c r="AX176" s="6"/>
      <c r="AY176" s="6"/>
      <c r="AZ176" s="6"/>
      <c r="BA176" s="6"/>
      <c r="BB176" s="6"/>
      <c r="BC176" s="6"/>
      <c r="BD176" s="6"/>
      <c r="BE176" s="6"/>
      <c r="BF176" s="5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5"/>
      <c r="BR176" s="6"/>
      <c r="BS176" s="6"/>
      <c r="BT176" s="6"/>
      <c r="BU176" s="6"/>
      <c r="BV176" s="6"/>
      <c r="BW176" s="6"/>
      <c r="BX176" s="6"/>
      <c r="BY176" s="6"/>
      <c r="BZ176" s="5"/>
      <c r="CA176" s="101"/>
      <c r="CB176" s="101"/>
      <c r="CC176" s="6"/>
      <c r="CD176" s="6"/>
      <c r="CE176" s="6"/>
      <c r="CF176" s="6"/>
      <c r="CG176" s="6"/>
      <c r="CH176" s="6"/>
      <c r="CI176" s="6"/>
      <c r="CJ176" s="6"/>
      <c r="CK176" s="5"/>
      <c r="CL176" s="6"/>
      <c r="CM176" s="6"/>
      <c r="CN176" s="6"/>
      <c r="CO176" s="6"/>
      <c r="CP176" s="6"/>
      <c r="CQ176" s="6"/>
      <c r="CR176" s="6"/>
      <c r="CS176" s="6"/>
      <c r="CT176" s="5"/>
      <c r="CU176" s="6"/>
      <c r="CV176" s="6"/>
      <c r="CW176" s="6"/>
      <c r="CX176" s="6"/>
      <c r="CY176" s="6"/>
      <c r="CZ176" s="6"/>
      <c r="DA176" s="6"/>
      <c r="DB176" s="6"/>
      <c r="DC176" s="5"/>
      <c r="DD176" s="6"/>
      <c r="DE176" s="6"/>
      <c r="DF176" s="6"/>
      <c r="DG176" s="6"/>
      <c r="DH176" s="6"/>
      <c r="DI176" s="6"/>
      <c r="DJ176" s="6"/>
      <c r="DK176" s="6"/>
    </row>
    <row r="177" spans="1:115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</row>
    <row r="178" spans="1:115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</row>
    <row r="179" spans="1:115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</row>
    <row r="180" spans="1:115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</row>
    <row r="181" spans="1:115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</row>
    <row r="182" spans="1:115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</row>
    <row r="183" spans="1:115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</row>
    <row r="184" spans="1:115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</row>
    <row r="185" spans="1:115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</row>
    <row r="186" spans="1:115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</row>
    <row r="187" spans="1:115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</row>
    <row r="188" spans="1:115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</row>
    <row r="189" spans="1:115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</row>
    <row r="190" spans="1:115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</row>
    <row r="191" spans="1:115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</row>
    <row r="192" spans="1:115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</row>
    <row r="193" spans="1:115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</row>
    <row r="194" spans="1:115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</row>
    <row r="195" spans="1:115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</row>
    <row r="196" spans="1:115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</row>
    <row r="197" spans="1:115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</row>
    <row r="198" spans="1:115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</row>
    <row r="199" spans="1:115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</row>
    <row r="200" spans="1:115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</row>
    <row r="201" spans="1:115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</row>
    <row r="202" spans="1:115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</row>
    <row r="203" spans="1:115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</row>
    <row r="204" spans="1:115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</row>
    <row r="205" spans="1:115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</row>
    <row r="206" spans="1:115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</row>
    <row r="207" spans="1:115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</row>
    <row r="208" spans="1:115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</row>
    <row r="209" spans="1:115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</row>
    <row r="210" spans="1:115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</row>
    <row r="211" spans="1:115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</row>
    <row r="212" spans="1:115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</row>
    <row r="213" spans="1:115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</row>
    <row r="214" spans="1:115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</row>
    <row r="215" spans="1:115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</row>
    <row r="216" spans="1:115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</row>
    <row r="217" spans="1:115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</row>
    <row r="218" spans="1:115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</row>
    <row r="219" spans="1:115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</row>
  </sheetData>
  <sheetProtection algorithmName="SHA-512" hashValue="PoiY2AObTGDxxgiJuZPCJGCeIHwiUeUA6opa5grGSUhMZbWsTZmStJi9uKzngOKW+S354N8P5m+6SWRqKgrqgg==" saltValue="AySU6KI5rbPWG3W+SR3D2A==" spinCount="100000" sheet="1" objects="1" scenarios="1"/>
  <autoFilter ref="A4:DK164" xr:uid="{00000000-0001-0000-0000-000000000000}">
    <filterColumn colId="3">
      <filters blank="1">
        <filter val="2009"/>
        <filter val="2010"/>
        <filter val="2011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</autoFilter>
  <sortState xmlns:xlrd2="http://schemas.microsoft.com/office/spreadsheetml/2017/richdata2" ref="B17:DK170">
    <sortCondition descending="1" ref="E17:E170"/>
  </sortState>
  <mergeCells count="90">
    <mergeCell ref="DC4:DC8"/>
    <mergeCell ref="DD4:DK5"/>
    <mergeCell ref="DD6:DK6"/>
    <mergeCell ref="DD7:DE7"/>
    <mergeCell ref="DH7:DI7"/>
    <mergeCell ref="DJ7:DK7"/>
    <mergeCell ref="DF7:DG7"/>
    <mergeCell ref="CT4:CT8"/>
    <mergeCell ref="CU4:DB5"/>
    <mergeCell ref="CU6:DB6"/>
    <mergeCell ref="CU7:CV7"/>
    <mergeCell ref="DA7:DB7"/>
    <mergeCell ref="CW7:CX7"/>
    <mergeCell ref="CY7:CZ7"/>
    <mergeCell ref="CK4:CK8"/>
    <mergeCell ref="CL4:CS5"/>
    <mergeCell ref="CL6:CS6"/>
    <mergeCell ref="CL7:CM7"/>
    <mergeCell ref="CP7:CQ7"/>
    <mergeCell ref="CR7:CS7"/>
    <mergeCell ref="CN7:CO7"/>
    <mergeCell ref="BZ4:BZ8"/>
    <mergeCell ref="CC7:CD7"/>
    <mergeCell ref="CE7:CF7"/>
    <mergeCell ref="CG7:CH7"/>
    <mergeCell ref="CI7:CJ7"/>
    <mergeCell ref="CA7:CB7"/>
    <mergeCell ref="CA4:CJ5"/>
    <mergeCell ref="CA6:CJ6"/>
    <mergeCell ref="BQ4:BQ8"/>
    <mergeCell ref="BR4:BY5"/>
    <mergeCell ref="BR6:BY6"/>
    <mergeCell ref="BR7:BS7"/>
    <mergeCell ref="BT7:BU7"/>
    <mergeCell ref="BV7:BW7"/>
    <mergeCell ref="BX7:BY7"/>
    <mergeCell ref="BF4:BF8"/>
    <mergeCell ref="BG4:BP5"/>
    <mergeCell ref="BG6:BP6"/>
    <mergeCell ref="BG7:BH7"/>
    <mergeCell ref="BO7:BP7"/>
    <mergeCell ref="BM7:BN7"/>
    <mergeCell ref="BI7:BJ7"/>
    <mergeCell ref="BK7:BL7"/>
    <mergeCell ref="AX4:BE5"/>
    <mergeCell ref="K6:N6"/>
    <mergeCell ref="P6:Q6"/>
    <mergeCell ref="S6:AB6"/>
    <mergeCell ref="AO6:AV6"/>
    <mergeCell ref="AX6:BE6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D7:BE7"/>
    <mergeCell ref="G4:G8"/>
    <mergeCell ref="H4:H8"/>
    <mergeCell ref="I4:I8"/>
    <mergeCell ref="J4:J8"/>
    <mergeCell ref="K4:N5"/>
    <mergeCell ref="O4:O8"/>
    <mergeCell ref="P4:Q5"/>
    <mergeCell ref="S4:AB5"/>
    <mergeCell ref="AW4:AW8"/>
    <mergeCell ref="AX7:AY7"/>
    <mergeCell ref="AZ7:BA7"/>
    <mergeCell ref="K7:L7"/>
    <mergeCell ref="M7:N7"/>
    <mergeCell ref="P7:Q7"/>
    <mergeCell ref="BB7:BC7"/>
    <mergeCell ref="AU7:AV7"/>
    <mergeCell ref="AO7:AP7"/>
    <mergeCell ref="AQ7:AR7"/>
    <mergeCell ref="AS7:AT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89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2025-10-03T08:47:24Z</cp:lastPrinted>
  <dcterms:created xsi:type="dcterms:W3CDTF">2020-10-21T14:21:31Z</dcterms:created>
  <dcterms:modified xsi:type="dcterms:W3CDTF">2025-10-03T08:47:53Z</dcterms:modified>
  <dc:language>ru-RU</dc:language>
</cp:coreProperties>
</file>